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2024\4 кв\"/>
    </mc:Choice>
  </mc:AlternateContent>
  <xr:revisionPtr revIDLastSave="0" documentId="13_ncr:1_{A80CECA2-F97C-4133-890D-1A19B1468B0D}" xr6:coauthVersionLast="37" xr6:coauthVersionMax="37" xr10:uidLastSave="{00000000-0000-0000-0000-000000000000}"/>
  <bookViews>
    <workbookView xWindow="0" yWindow="0" windowWidth="28800" windowHeight="12435" xr2:uid="{00000000-000D-0000-FFFF-FFFF00000000}"/>
  </bookViews>
  <sheets>
    <sheet name="Лист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1" i="2" l="1"/>
  <c r="E285" i="2"/>
  <c r="H471" i="2" l="1"/>
  <c r="F471" i="2"/>
  <c r="E18" i="2"/>
  <c r="E17" i="2" s="1"/>
  <c r="E19" i="2"/>
  <c r="F19" i="2"/>
  <c r="F18" i="2" s="1"/>
  <c r="F17" i="2" s="1"/>
  <c r="H19" i="2"/>
  <c r="E20" i="2"/>
  <c r="F20" i="2"/>
  <c r="H20" i="2"/>
  <c r="H18" i="2" s="1"/>
  <c r="H17" i="2" s="1"/>
  <c r="F21" i="2"/>
  <c r="E22" i="2"/>
  <c r="E21" i="2" s="1"/>
  <c r="F22" i="2"/>
  <c r="H22" i="2"/>
  <c r="H21" i="2" s="1"/>
  <c r="E25" i="2"/>
  <c r="F25" i="2"/>
  <c r="H25" i="2"/>
  <c r="E26" i="2"/>
  <c r="E24" i="2" s="1"/>
  <c r="E23" i="2" s="1"/>
  <c r="F26" i="2"/>
  <c r="H26" i="2"/>
  <c r="E27" i="2"/>
  <c r="F27" i="2"/>
  <c r="H27" i="2"/>
  <c r="E28" i="2"/>
  <c r="F28" i="2"/>
  <c r="H28" i="2"/>
  <c r="H24" i="2" s="1"/>
  <c r="H23" i="2" s="1"/>
  <c r="E30" i="2"/>
  <c r="E29" i="2" s="1"/>
  <c r="F30" i="2"/>
  <c r="H30" i="2"/>
  <c r="H29" i="2" s="1"/>
  <c r="E31" i="2"/>
  <c r="F31" i="2"/>
  <c r="F29" i="2" s="1"/>
  <c r="H31" i="2"/>
  <c r="F33" i="2"/>
  <c r="E34" i="2"/>
  <c r="E33" i="2" s="1"/>
  <c r="F34" i="2"/>
  <c r="H34" i="2"/>
  <c r="H33" i="2" s="1"/>
  <c r="E35" i="2"/>
  <c r="F35" i="2"/>
  <c r="H35" i="2"/>
  <c r="E37" i="2"/>
  <c r="F37" i="2"/>
  <c r="F36" i="2" s="1"/>
  <c r="H37" i="2"/>
  <c r="E38" i="2"/>
  <c r="E36" i="2" s="1"/>
  <c r="E32" i="2" s="1"/>
  <c r="F38" i="2"/>
  <c r="H38" i="2"/>
  <c r="H36" i="2" s="1"/>
  <c r="E39" i="2"/>
  <c r="F39" i="2"/>
  <c r="H39" i="2"/>
  <c r="E40" i="2"/>
  <c r="H40" i="2"/>
  <c r="E41" i="2"/>
  <c r="F41" i="2"/>
  <c r="F40" i="2" s="1"/>
  <c r="H41" i="2"/>
  <c r="E42" i="2"/>
  <c r="F42" i="2"/>
  <c r="H42" i="2"/>
  <c r="F43" i="2"/>
  <c r="E44" i="2"/>
  <c r="E43" i="2" s="1"/>
  <c r="F44" i="2"/>
  <c r="H44" i="2"/>
  <c r="H43" i="2" s="1"/>
  <c r="E46" i="2"/>
  <c r="H46" i="2"/>
  <c r="E47" i="2"/>
  <c r="F47" i="2"/>
  <c r="F46" i="2" s="1"/>
  <c r="F45" i="2" s="1"/>
  <c r="H47" i="2"/>
  <c r="E48" i="2"/>
  <c r="F48" i="2"/>
  <c r="H48" i="2"/>
  <c r="F49" i="2"/>
  <c r="E50" i="2"/>
  <c r="E49" i="2" s="1"/>
  <c r="F50" i="2"/>
  <c r="H50" i="2"/>
  <c r="H49" i="2" s="1"/>
  <c r="E52" i="2"/>
  <c r="E51" i="2" s="1"/>
  <c r="F52" i="2"/>
  <c r="H52" i="2"/>
  <c r="H51" i="2" s="1"/>
  <c r="E53" i="2"/>
  <c r="F53" i="2"/>
  <c r="F51" i="2" s="1"/>
  <c r="H53" i="2"/>
  <c r="E54" i="2"/>
  <c r="F54" i="2"/>
  <c r="H54" i="2"/>
  <c r="E56" i="2"/>
  <c r="E55" i="2" s="1"/>
  <c r="H56" i="2"/>
  <c r="H55" i="2" s="1"/>
  <c r="E57" i="2"/>
  <c r="F57" i="2"/>
  <c r="F56" i="2" s="1"/>
  <c r="F55" i="2" s="1"/>
  <c r="H57" i="2"/>
  <c r="E61" i="2"/>
  <c r="F61" i="2"/>
  <c r="H61" i="2"/>
  <c r="E62" i="2"/>
  <c r="F62" i="2"/>
  <c r="H62" i="2"/>
  <c r="E63" i="2"/>
  <c r="F63" i="2"/>
  <c r="H63" i="2"/>
  <c r="E64" i="2"/>
  <c r="F64" i="2"/>
  <c r="H64" i="2"/>
  <c r="E65" i="2"/>
  <c r="F65" i="2"/>
  <c r="H65" i="2"/>
  <c r="E66" i="2"/>
  <c r="E60" i="2" s="1"/>
  <c r="E59" i="2" s="1"/>
  <c r="F66" i="2"/>
  <c r="H66" i="2"/>
  <c r="E67" i="2"/>
  <c r="F67" i="2"/>
  <c r="H67" i="2"/>
  <c r="E68" i="2"/>
  <c r="F68" i="2"/>
  <c r="H68" i="2"/>
  <c r="E69" i="2"/>
  <c r="F69" i="2"/>
  <c r="H69" i="2"/>
  <c r="E70" i="2"/>
  <c r="F70" i="2"/>
  <c r="H70" i="2"/>
  <c r="E71" i="2"/>
  <c r="F71" i="2"/>
  <c r="H71" i="2"/>
  <c r="E72" i="2"/>
  <c r="F72" i="2"/>
  <c r="H72" i="2"/>
  <c r="E73" i="2"/>
  <c r="F73" i="2"/>
  <c r="H73" i="2"/>
  <c r="E74" i="2"/>
  <c r="F74" i="2"/>
  <c r="H74" i="2"/>
  <c r="E75" i="2"/>
  <c r="F75" i="2"/>
  <c r="H75" i="2"/>
  <c r="E77" i="2"/>
  <c r="F77" i="2"/>
  <c r="H77" i="2"/>
  <c r="E78" i="2"/>
  <c r="E76" i="2" s="1"/>
  <c r="F78" i="2"/>
  <c r="H78" i="2"/>
  <c r="E79" i="2"/>
  <c r="F79" i="2"/>
  <c r="H79" i="2"/>
  <c r="E80" i="2"/>
  <c r="F80" i="2"/>
  <c r="H80" i="2"/>
  <c r="H76" i="2" s="1"/>
  <c r="F81" i="2"/>
  <c r="E82" i="2"/>
  <c r="E81" i="2" s="1"/>
  <c r="F82" i="2"/>
  <c r="H82" i="2"/>
  <c r="H81" i="2" s="1"/>
  <c r="F83" i="2"/>
  <c r="E84" i="2"/>
  <c r="E83" i="2" s="1"/>
  <c r="F84" i="2"/>
  <c r="H84" i="2"/>
  <c r="H83" i="2" s="1"/>
  <c r="E85" i="2"/>
  <c r="F85" i="2"/>
  <c r="H85" i="2"/>
  <c r="E86" i="2"/>
  <c r="F86" i="2"/>
  <c r="H86" i="2"/>
  <c r="F87" i="2"/>
  <c r="E88" i="2"/>
  <c r="E87" i="2" s="1"/>
  <c r="F88" i="2"/>
  <c r="H88" i="2"/>
  <c r="H87" i="2" s="1"/>
  <c r="E90" i="2"/>
  <c r="E89" i="2" s="1"/>
  <c r="F90" i="2"/>
  <c r="H90" i="2"/>
  <c r="H89" i="2" s="1"/>
  <c r="E91" i="2"/>
  <c r="F91" i="2"/>
  <c r="F89" i="2" s="1"/>
  <c r="H91" i="2"/>
  <c r="E94" i="2"/>
  <c r="F94" i="2"/>
  <c r="H94" i="2"/>
  <c r="E95" i="2"/>
  <c r="F95" i="2"/>
  <c r="F93" i="2" s="1"/>
  <c r="F92" i="2" s="1"/>
  <c r="H95" i="2"/>
  <c r="E96" i="2"/>
  <c r="F96" i="2"/>
  <c r="H96" i="2"/>
  <c r="E97" i="2"/>
  <c r="F97" i="2"/>
  <c r="H97" i="2"/>
  <c r="E98" i="2"/>
  <c r="F98" i="2"/>
  <c r="H98" i="2"/>
  <c r="F99" i="2"/>
  <c r="E100" i="2"/>
  <c r="E99" i="2" s="1"/>
  <c r="F100" i="2"/>
  <c r="H100" i="2"/>
  <c r="H99" i="2" s="1"/>
  <c r="F101" i="2"/>
  <c r="E102" i="2"/>
  <c r="E101" i="2" s="1"/>
  <c r="F102" i="2"/>
  <c r="H102" i="2"/>
  <c r="H101" i="2" s="1"/>
  <c r="F103" i="2"/>
  <c r="E104" i="2"/>
  <c r="E103" i="2" s="1"/>
  <c r="F104" i="2"/>
  <c r="H104" i="2"/>
  <c r="H103" i="2" s="1"/>
  <c r="E105" i="2"/>
  <c r="F105" i="2"/>
  <c r="H105" i="2"/>
  <c r="E108" i="2"/>
  <c r="E107" i="2" s="1"/>
  <c r="E106" i="2" s="1"/>
  <c r="F108" i="2"/>
  <c r="H108" i="2"/>
  <c r="H107" i="2" s="1"/>
  <c r="H106" i="2" s="1"/>
  <c r="E109" i="2"/>
  <c r="F109" i="2"/>
  <c r="F107" i="2" s="1"/>
  <c r="F106" i="2" s="1"/>
  <c r="H109" i="2"/>
  <c r="E114" i="2"/>
  <c r="F114" i="2"/>
  <c r="H114" i="2"/>
  <c r="H113" i="2" s="1"/>
  <c r="H112" i="2" s="1"/>
  <c r="H111" i="2" s="1"/>
  <c r="E115" i="2"/>
  <c r="F115" i="2"/>
  <c r="H115" i="2"/>
  <c r="E116" i="2"/>
  <c r="F116" i="2"/>
  <c r="H116" i="2"/>
  <c r="E117" i="2"/>
  <c r="F117" i="2"/>
  <c r="F113" i="2" s="1"/>
  <c r="F112" i="2" s="1"/>
  <c r="F111" i="2" s="1"/>
  <c r="H117" i="2"/>
  <c r="E118" i="2"/>
  <c r="H118" i="2"/>
  <c r="E119" i="2"/>
  <c r="F119" i="2"/>
  <c r="F118" i="2" s="1"/>
  <c r="H119" i="2"/>
  <c r="E120" i="2"/>
  <c r="F120" i="2"/>
  <c r="H120" i="2"/>
  <c r="E123" i="2"/>
  <c r="F123" i="2"/>
  <c r="F122" i="2" s="1"/>
  <c r="F121" i="2" s="1"/>
  <c r="H123" i="2"/>
  <c r="E124" i="2"/>
  <c r="E122" i="2" s="1"/>
  <c r="E121" i="2" s="1"/>
  <c r="F124" i="2"/>
  <c r="H124" i="2"/>
  <c r="H122" i="2" s="1"/>
  <c r="H121" i="2" s="1"/>
  <c r="F125" i="2"/>
  <c r="E126" i="2"/>
  <c r="E125" i="2" s="1"/>
  <c r="F126" i="2"/>
  <c r="H126" i="2"/>
  <c r="H125" i="2" s="1"/>
  <c r="E128" i="2"/>
  <c r="E127" i="2" s="1"/>
  <c r="H128" i="2"/>
  <c r="H127" i="2" s="1"/>
  <c r="E129" i="2"/>
  <c r="F129" i="2"/>
  <c r="F128" i="2" s="1"/>
  <c r="F127" i="2" s="1"/>
  <c r="H129" i="2"/>
  <c r="H130" i="2"/>
  <c r="E131" i="2"/>
  <c r="F131" i="2"/>
  <c r="F130" i="2" s="1"/>
  <c r="H131" i="2"/>
  <c r="E132" i="2"/>
  <c r="E130" i="2" s="1"/>
  <c r="F132" i="2"/>
  <c r="H132" i="2"/>
  <c r="F133" i="2"/>
  <c r="E134" i="2"/>
  <c r="E133" i="2" s="1"/>
  <c r="F134" i="2"/>
  <c r="H134" i="2"/>
  <c r="H133" i="2" s="1"/>
  <c r="F137" i="2"/>
  <c r="E138" i="2"/>
  <c r="E137" i="2" s="1"/>
  <c r="F138" i="2"/>
  <c r="H138" i="2"/>
  <c r="E139" i="2"/>
  <c r="F139" i="2"/>
  <c r="H139" i="2"/>
  <c r="E140" i="2"/>
  <c r="F140" i="2"/>
  <c r="H140" i="2"/>
  <c r="E141" i="2"/>
  <c r="F141" i="2"/>
  <c r="H141" i="2"/>
  <c r="E143" i="2"/>
  <c r="F143" i="2"/>
  <c r="F142" i="2" s="1"/>
  <c r="H143" i="2"/>
  <c r="E144" i="2"/>
  <c r="E142" i="2" s="1"/>
  <c r="E136" i="2" s="1"/>
  <c r="E155" i="2" s="1"/>
  <c r="F144" i="2"/>
  <c r="H144" i="2"/>
  <c r="H142" i="2" s="1"/>
  <c r="F145" i="2"/>
  <c r="E146" i="2"/>
  <c r="E145" i="2" s="1"/>
  <c r="F146" i="2"/>
  <c r="H146" i="2"/>
  <c r="H145" i="2" s="1"/>
  <c r="E148" i="2"/>
  <c r="E147" i="2" s="1"/>
  <c r="E149" i="2"/>
  <c r="F149" i="2"/>
  <c r="F148" i="2" s="1"/>
  <c r="F147" i="2" s="1"/>
  <c r="H149" i="2"/>
  <c r="E150" i="2"/>
  <c r="F150" i="2"/>
  <c r="H150" i="2"/>
  <c r="H148" i="2" s="1"/>
  <c r="F151" i="2"/>
  <c r="E152" i="2"/>
  <c r="E151" i="2" s="1"/>
  <c r="F152" i="2"/>
  <c r="H152" i="2"/>
  <c r="H151" i="2" s="1"/>
  <c r="F153" i="2"/>
  <c r="E154" i="2"/>
  <c r="E153" i="2" s="1"/>
  <c r="F154" i="2"/>
  <c r="H154" i="2"/>
  <c r="H153" i="2" s="1"/>
  <c r="F157" i="2"/>
  <c r="F156" i="2" s="1"/>
  <c r="E158" i="2"/>
  <c r="E157" i="2" s="1"/>
  <c r="E156" i="2" s="1"/>
  <c r="F158" i="2"/>
  <c r="H158" i="2"/>
  <c r="H157" i="2" s="1"/>
  <c r="H156" i="2" s="1"/>
  <c r="H162" i="2" s="1"/>
  <c r="E160" i="2"/>
  <c r="E159" i="2" s="1"/>
  <c r="H160" i="2"/>
  <c r="H159" i="2" s="1"/>
  <c r="E161" i="2"/>
  <c r="F161" i="2"/>
  <c r="F160" i="2" s="1"/>
  <c r="F159" i="2" s="1"/>
  <c r="H161" i="2"/>
  <c r="E164" i="2"/>
  <c r="E163" i="2" s="1"/>
  <c r="F165" i="2"/>
  <c r="F164" i="2" s="1"/>
  <c r="F163" i="2" s="1"/>
  <c r="F173" i="2" s="1"/>
  <c r="E166" i="2"/>
  <c r="E165" i="2" s="1"/>
  <c r="F166" i="2"/>
  <c r="H166" i="2"/>
  <c r="H165" i="2" s="1"/>
  <c r="H164" i="2" s="1"/>
  <c r="E167" i="2"/>
  <c r="F167" i="2"/>
  <c r="H167" i="2"/>
  <c r="E168" i="2"/>
  <c r="H168" i="2"/>
  <c r="E169" i="2"/>
  <c r="F169" i="2"/>
  <c r="F168" i="2" s="1"/>
  <c r="H169" i="2"/>
  <c r="E170" i="2"/>
  <c r="F171" i="2"/>
  <c r="F170" i="2" s="1"/>
  <c r="E172" i="2"/>
  <c r="E171" i="2" s="1"/>
  <c r="F172" i="2"/>
  <c r="H172" i="2"/>
  <c r="H171" i="2" s="1"/>
  <c r="H170" i="2" s="1"/>
  <c r="F175" i="2"/>
  <c r="E176" i="2"/>
  <c r="F176" i="2"/>
  <c r="H176" i="2"/>
  <c r="H175" i="2" s="1"/>
  <c r="E177" i="2"/>
  <c r="F177" i="2"/>
  <c r="H177" i="2"/>
  <c r="E178" i="2"/>
  <c r="F178" i="2"/>
  <c r="H178" i="2"/>
  <c r="E180" i="2"/>
  <c r="F180" i="2"/>
  <c r="H180" i="2"/>
  <c r="E181" i="2"/>
  <c r="F181" i="2"/>
  <c r="H181" i="2"/>
  <c r="E182" i="2"/>
  <c r="F182" i="2"/>
  <c r="H182" i="2"/>
  <c r="E183" i="2"/>
  <c r="F183" i="2"/>
  <c r="H183" i="2"/>
  <c r="E184" i="2"/>
  <c r="F184" i="2"/>
  <c r="H184" i="2"/>
  <c r="E186" i="2"/>
  <c r="F186" i="2"/>
  <c r="H186" i="2"/>
  <c r="H185" i="2" s="1"/>
  <c r="E187" i="2"/>
  <c r="F187" i="2"/>
  <c r="H187" i="2"/>
  <c r="E188" i="2"/>
  <c r="F188" i="2"/>
  <c r="H188" i="2"/>
  <c r="E189" i="2"/>
  <c r="F189" i="2"/>
  <c r="H189" i="2"/>
  <c r="E191" i="2"/>
  <c r="F191" i="2"/>
  <c r="H191" i="2"/>
  <c r="E192" i="2"/>
  <c r="E190" i="2" s="1"/>
  <c r="F192" i="2"/>
  <c r="H192" i="2"/>
  <c r="E193" i="2"/>
  <c r="F193" i="2"/>
  <c r="H193" i="2"/>
  <c r="E194" i="2"/>
  <c r="F194" i="2"/>
  <c r="H194" i="2"/>
  <c r="H190" i="2" s="1"/>
  <c r="E195" i="2"/>
  <c r="F195" i="2"/>
  <c r="H195" i="2"/>
  <c r="E196" i="2"/>
  <c r="F196" i="2"/>
  <c r="H196" i="2"/>
  <c r="E198" i="2"/>
  <c r="E197" i="2" s="1"/>
  <c r="F198" i="2"/>
  <c r="H198" i="2"/>
  <c r="E199" i="2"/>
  <c r="F199" i="2"/>
  <c r="F197" i="2" s="1"/>
  <c r="H199" i="2"/>
  <c r="E200" i="2"/>
  <c r="F200" i="2"/>
  <c r="H200" i="2"/>
  <c r="E201" i="2"/>
  <c r="F201" i="2"/>
  <c r="H201" i="2"/>
  <c r="E204" i="2"/>
  <c r="E203" i="2" s="1"/>
  <c r="F204" i="2"/>
  <c r="H204" i="2"/>
  <c r="H203" i="2" s="1"/>
  <c r="E205" i="2"/>
  <c r="F205" i="2"/>
  <c r="F203" i="2" s="1"/>
  <c r="H205" i="2"/>
  <c r="E206" i="2"/>
  <c r="F206" i="2"/>
  <c r="H206" i="2"/>
  <c r="H202" i="2" s="1"/>
  <c r="E208" i="2"/>
  <c r="F208" i="2"/>
  <c r="H208" i="2"/>
  <c r="H207" i="2" s="1"/>
  <c r="E209" i="2"/>
  <c r="F209" i="2"/>
  <c r="F207" i="2" s="1"/>
  <c r="H209" i="2"/>
  <c r="E210" i="2"/>
  <c r="F210" i="2"/>
  <c r="H210" i="2"/>
  <c r="E211" i="2"/>
  <c r="F211" i="2"/>
  <c r="H211" i="2"/>
  <c r="E212" i="2"/>
  <c r="F212" i="2"/>
  <c r="H212" i="2"/>
  <c r="E213" i="2"/>
  <c r="F213" i="2"/>
  <c r="H213" i="2"/>
  <c r="F215" i="2"/>
  <c r="E216" i="2"/>
  <c r="E215" i="2" s="1"/>
  <c r="F216" i="2"/>
  <c r="H216" i="2"/>
  <c r="H215" i="2" s="1"/>
  <c r="E217" i="2"/>
  <c r="F217" i="2"/>
  <c r="H217" i="2"/>
  <c r="E218" i="2"/>
  <c r="F218" i="2"/>
  <c r="H218" i="2"/>
  <c r="F219" i="2"/>
  <c r="E220" i="2"/>
  <c r="F220" i="2"/>
  <c r="H220" i="2"/>
  <c r="E221" i="2"/>
  <c r="F221" i="2"/>
  <c r="H221" i="2"/>
  <c r="E222" i="2"/>
  <c r="F222" i="2"/>
  <c r="H222" i="2"/>
  <c r="E223" i="2"/>
  <c r="F223" i="2"/>
  <c r="H223" i="2"/>
  <c r="E224" i="2"/>
  <c r="F224" i="2"/>
  <c r="H224" i="2"/>
  <c r="E227" i="2"/>
  <c r="F227" i="2"/>
  <c r="H227" i="2"/>
  <c r="E228" i="2"/>
  <c r="E226" i="2" s="1"/>
  <c r="E225" i="2" s="1"/>
  <c r="F228" i="2"/>
  <c r="H228" i="2"/>
  <c r="H226" i="2" s="1"/>
  <c r="H225" i="2" s="1"/>
  <c r="E229" i="2"/>
  <c r="F229" i="2"/>
  <c r="H229" i="2"/>
  <c r="E230" i="2"/>
  <c r="F230" i="2"/>
  <c r="H230" i="2"/>
  <c r="E231" i="2"/>
  <c r="F231" i="2"/>
  <c r="H231" i="2"/>
  <c r="E232" i="2"/>
  <c r="F232" i="2"/>
  <c r="H232" i="2"/>
  <c r="E233" i="2"/>
  <c r="F233" i="2"/>
  <c r="H233" i="2"/>
  <c r="E234" i="2"/>
  <c r="F234" i="2"/>
  <c r="H234" i="2"/>
  <c r="E235" i="2"/>
  <c r="F235" i="2"/>
  <c r="H235" i="2"/>
  <c r="E236" i="2"/>
  <c r="F236" i="2"/>
  <c r="H236" i="2"/>
  <c r="E237" i="2"/>
  <c r="F237" i="2"/>
  <c r="H237" i="2"/>
  <c r="F239" i="2"/>
  <c r="F238" i="2" s="1"/>
  <c r="E240" i="2"/>
  <c r="F240" i="2"/>
  <c r="H240" i="2"/>
  <c r="H239" i="2" s="1"/>
  <c r="H238" i="2" s="1"/>
  <c r="E241" i="2"/>
  <c r="F241" i="2"/>
  <c r="H241" i="2"/>
  <c r="E242" i="2"/>
  <c r="F242" i="2"/>
  <c r="H242" i="2"/>
  <c r="E244" i="2"/>
  <c r="E243" i="2" s="1"/>
  <c r="H244" i="2"/>
  <c r="H243" i="2" s="1"/>
  <c r="E245" i="2"/>
  <c r="F245" i="2"/>
  <c r="F244" i="2" s="1"/>
  <c r="F243" i="2" s="1"/>
  <c r="H245" i="2"/>
  <c r="F247" i="2"/>
  <c r="E248" i="2"/>
  <c r="E247" i="2" s="1"/>
  <c r="E259" i="2" s="1"/>
  <c r="F248" i="2"/>
  <c r="H248" i="2"/>
  <c r="H247" i="2" s="1"/>
  <c r="F249" i="2"/>
  <c r="E250" i="2"/>
  <c r="E249" i="2" s="1"/>
  <c r="F250" i="2"/>
  <c r="H250" i="2"/>
  <c r="H249" i="2" s="1"/>
  <c r="E253" i="2"/>
  <c r="F253" i="2"/>
  <c r="F252" i="2" s="1"/>
  <c r="F251" i="2" s="1"/>
  <c r="F259" i="2" s="1"/>
  <c r="H253" i="2"/>
  <c r="E254" i="2"/>
  <c r="E252" i="2" s="1"/>
  <c r="E251" i="2" s="1"/>
  <c r="F254" i="2"/>
  <c r="H254" i="2"/>
  <c r="H252" i="2" s="1"/>
  <c r="H251" i="2" s="1"/>
  <c r="E256" i="2"/>
  <c r="E255" i="2" s="1"/>
  <c r="F256" i="2"/>
  <c r="F255" i="2" s="1"/>
  <c r="H256" i="2"/>
  <c r="H255" i="2" s="1"/>
  <c r="F257" i="2"/>
  <c r="H257" i="2"/>
  <c r="E258" i="2"/>
  <c r="E257" i="2" s="1"/>
  <c r="F258" i="2"/>
  <c r="H258" i="2"/>
  <c r="F260" i="2"/>
  <c r="F261" i="2"/>
  <c r="E262" i="2"/>
  <c r="E261" i="2" s="1"/>
  <c r="E260" i="2" s="1"/>
  <c r="F262" i="2"/>
  <c r="H262" i="2"/>
  <c r="H261" i="2" s="1"/>
  <c r="H260" i="2" s="1"/>
  <c r="F264" i="2"/>
  <c r="E265" i="2"/>
  <c r="F265" i="2"/>
  <c r="H265" i="2"/>
  <c r="H264" i="2" s="1"/>
  <c r="E266" i="2"/>
  <c r="F266" i="2"/>
  <c r="H266" i="2"/>
  <c r="E267" i="2"/>
  <c r="E264" i="2" s="1"/>
  <c r="F267" i="2"/>
  <c r="H267" i="2"/>
  <c r="E268" i="2"/>
  <c r="F268" i="2"/>
  <c r="H268" i="2"/>
  <c r="E270" i="2"/>
  <c r="F270" i="2"/>
  <c r="H270" i="2"/>
  <c r="E271" i="2"/>
  <c r="F271" i="2"/>
  <c r="F269" i="2" s="1"/>
  <c r="H271" i="2"/>
  <c r="E272" i="2"/>
  <c r="F272" i="2"/>
  <c r="H272" i="2"/>
  <c r="H269" i="2" s="1"/>
  <c r="E273" i="2"/>
  <c r="F273" i="2"/>
  <c r="H273" i="2"/>
  <c r="E274" i="2"/>
  <c r="F274" i="2"/>
  <c r="H274" i="2"/>
  <c r="E275" i="2"/>
  <c r="F275" i="2"/>
  <c r="H275" i="2"/>
  <c r="E276" i="2"/>
  <c r="F276" i="2"/>
  <c r="H276" i="2"/>
  <c r="E277" i="2"/>
  <c r="F277" i="2"/>
  <c r="H277" i="2"/>
  <c r="E279" i="2"/>
  <c r="E278" i="2" s="1"/>
  <c r="F279" i="2"/>
  <c r="H279" i="2"/>
  <c r="E280" i="2"/>
  <c r="F280" i="2"/>
  <c r="H280" i="2"/>
  <c r="H278" i="2" s="1"/>
  <c r="E283" i="2"/>
  <c r="F283" i="2"/>
  <c r="H283" i="2"/>
  <c r="E284" i="2"/>
  <c r="E282" i="2" s="1"/>
  <c r="E302" i="2" s="1"/>
  <c r="F285" i="2"/>
  <c r="F284" i="2" s="1"/>
  <c r="H285" i="2"/>
  <c r="H284" i="2" s="1"/>
  <c r="H282" i="2" s="1"/>
  <c r="E286" i="2"/>
  <c r="F286" i="2"/>
  <c r="H286" i="2"/>
  <c r="E287" i="2"/>
  <c r="F287" i="2"/>
  <c r="H287" i="2"/>
  <c r="E288" i="2"/>
  <c r="F288" i="2"/>
  <c r="E289" i="2"/>
  <c r="F289" i="2"/>
  <c r="H289" i="2"/>
  <c r="H288" i="2" s="1"/>
  <c r="E290" i="2"/>
  <c r="F290" i="2"/>
  <c r="H290" i="2"/>
  <c r="E293" i="2"/>
  <c r="F293" i="2"/>
  <c r="F292" i="2" s="1"/>
  <c r="F291" i="2" s="1"/>
  <c r="H293" i="2"/>
  <c r="E294" i="2"/>
  <c r="F294" i="2"/>
  <c r="H294" i="2"/>
  <c r="H292" i="2" s="1"/>
  <c r="H291" i="2" s="1"/>
  <c r="E295" i="2"/>
  <c r="F295" i="2"/>
  <c r="H295" i="2"/>
  <c r="E296" i="2"/>
  <c r="E292" i="2" s="1"/>
  <c r="E291" i="2" s="1"/>
  <c r="F296" i="2"/>
  <c r="H296" i="2"/>
  <c r="E298" i="2"/>
  <c r="E297" i="2" s="1"/>
  <c r="F298" i="2"/>
  <c r="H298" i="2"/>
  <c r="E299" i="2"/>
  <c r="F299" i="2"/>
  <c r="F297" i="2" s="1"/>
  <c r="H299" i="2"/>
  <c r="E300" i="2"/>
  <c r="F300" i="2"/>
  <c r="H300" i="2"/>
  <c r="H297" i="2" s="1"/>
  <c r="E301" i="2"/>
  <c r="F301" i="2"/>
  <c r="H301" i="2"/>
  <c r="F304" i="2"/>
  <c r="F303" i="2" s="1"/>
  <c r="E305" i="2"/>
  <c r="F305" i="2"/>
  <c r="H305" i="2"/>
  <c r="H304" i="2" s="1"/>
  <c r="E306" i="2"/>
  <c r="F306" i="2"/>
  <c r="H306" i="2"/>
  <c r="E307" i="2"/>
  <c r="E304" i="2" s="1"/>
  <c r="E303" i="2" s="1"/>
  <c r="E332" i="2" s="1"/>
  <c r="F307" i="2"/>
  <c r="H307" i="2"/>
  <c r="E308" i="2"/>
  <c r="F308" i="2"/>
  <c r="E309" i="2"/>
  <c r="F309" i="2"/>
  <c r="H309" i="2"/>
  <c r="H308" i="2" s="1"/>
  <c r="H310" i="2"/>
  <c r="E311" i="2"/>
  <c r="E310" i="2" s="1"/>
  <c r="F311" i="2"/>
  <c r="F310" i="2" s="1"/>
  <c r="H311" i="2"/>
  <c r="E312" i="2"/>
  <c r="F312" i="2"/>
  <c r="E313" i="2"/>
  <c r="F313" i="2"/>
  <c r="H313" i="2"/>
  <c r="H312" i="2" s="1"/>
  <c r="E315" i="2"/>
  <c r="E314" i="2" s="1"/>
  <c r="F315" i="2"/>
  <c r="F314" i="2" s="1"/>
  <c r="H315" i="2"/>
  <c r="E316" i="2"/>
  <c r="F316" i="2"/>
  <c r="H316" i="2"/>
  <c r="H314" i="2" s="1"/>
  <c r="E319" i="2"/>
  <c r="F319" i="2"/>
  <c r="H319" i="2"/>
  <c r="E320" i="2"/>
  <c r="E318" i="2" s="1"/>
  <c r="E317" i="2" s="1"/>
  <c r="F320" i="2"/>
  <c r="H320" i="2"/>
  <c r="E321" i="2"/>
  <c r="F321" i="2"/>
  <c r="H321" i="2"/>
  <c r="E322" i="2"/>
  <c r="F322" i="2"/>
  <c r="H322" i="2"/>
  <c r="H318" i="2" s="1"/>
  <c r="H317" i="2" s="1"/>
  <c r="E323" i="2"/>
  <c r="F323" i="2"/>
  <c r="H323" i="2"/>
  <c r="E324" i="2"/>
  <c r="F324" i="2"/>
  <c r="H324" i="2"/>
  <c r="E325" i="2"/>
  <c r="F325" i="2"/>
  <c r="H325" i="2"/>
  <c r="E326" i="2"/>
  <c r="F326" i="2"/>
  <c r="H326" i="2"/>
  <c r="E327" i="2"/>
  <c r="F327" i="2"/>
  <c r="H327" i="2"/>
  <c r="E328" i="2"/>
  <c r="F328" i="2"/>
  <c r="H328" i="2"/>
  <c r="E329" i="2"/>
  <c r="F329" i="2"/>
  <c r="H329" i="2"/>
  <c r="H330" i="2"/>
  <c r="E331" i="2"/>
  <c r="E330" i="2" s="1"/>
  <c r="F331" i="2"/>
  <c r="F330" i="2" s="1"/>
  <c r="H331" i="2"/>
  <c r="H333" i="2"/>
  <c r="H365" i="2" s="1"/>
  <c r="E334" i="2"/>
  <c r="E333" i="2" s="1"/>
  <c r="F334" i="2"/>
  <c r="H334" i="2"/>
  <c r="E341" i="2"/>
  <c r="F341" i="2"/>
  <c r="F333" i="2" s="1"/>
  <c r="F365" i="2" s="1"/>
  <c r="H341" i="2"/>
  <c r="E345" i="2"/>
  <c r="F345" i="2"/>
  <c r="H345" i="2"/>
  <c r="E346" i="2"/>
  <c r="F346" i="2"/>
  <c r="H346" i="2"/>
  <c r="E349" i="2"/>
  <c r="H349" i="2"/>
  <c r="E350" i="2"/>
  <c r="F350" i="2"/>
  <c r="F349" i="2" s="1"/>
  <c r="H350" i="2"/>
  <c r="F352" i="2"/>
  <c r="H352" i="2"/>
  <c r="E353" i="2"/>
  <c r="F353" i="2"/>
  <c r="H353" i="2"/>
  <c r="E355" i="2"/>
  <c r="E352" i="2" s="1"/>
  <c r="F355" i="2"/>
  <c r="H355" i="2"/>
  <c r="F357" i="2"/>
  <c r="E358" i="2"/>
  <c r="E357" i="2" s="1"/>
  <c r="F358" i="2"/>
  <c r="H358" i="2"/>
  <c r="H357" i="2" s="1"/>
  <c r="F360" i="2"/>
  <c r="H360" i="2"/>
  <c r="E361" i="2"/>
  <c r="F361" i="2"/>
  <c r="H361" i="2"/>
  <c r="E363" i="2"/>
  <c r="F363" i="2"/>
  <c r="H363" i="2"/>
  <c r="E367" i="2"/>
  <c r="E366" i="2" s="1"/>
  <c r="E368" i="2"/>
  <c r="F368" i="2"/>
  <c r="F367" i="2" s="1"/>
  <c r="F366" i="2" s="1"/>
  <c r="F382" i="2" s="1"/>
  <c r="H368" i="2"/>
  <c r="E369" i="2"/>
  <c r="F369" i="2"/>
  <c r="H369" i="2"/>
  <c r="H367" i="2" s="1"/>
  <c r="H366" i="2" s="1"/>
  <c r="H371" i="2"/>
  <c r="E372" i="2"/>
  <c r="E371" i="2" s="1"/>
  <c r="F372" i="2"/>
  <c r="F371" i="2" s="1"/>
  <c r="H372" i="2"/>
  <c r="E374" i="2"/>
  <c r="F374" i="2"/>
  <c r="H374" i="2"/>
  <c r="H373" i="2" s="1"/>
  <c r="E375" i="2"/>
  <c r="F375" i="2"/>
  <c r="H375" i="2"/>
  <c r="E376" i="2"/>
  <c r="E373" i="2" s="1"/>
  <c r="F376" i="2"/>
  <c r="H376" i="2"/>
  <c r="E377" i="2"/>
  <c r="F377" i="2"/>
  <c r="F373" i="2" s="1"/>
  <c r="F370" i="2" s="1"/>
  <c r="H377" i="2"/>
  <c r="E378" i="2"/>
  <c r="F378" i="2"/>
  <c r="H378" i="2"/>
  <c r="E380" i="2"/>
  <c r="E379" i="2" s="1"/>
  <c r="F380" i="2"/>
  <c r="F379" i="2" s="1"/>
  <c r="E381" i="2"/>
  <c r="F381" i="2"/>
  <c r="H381" i="2"/>
  <c r="H380" i="2" s="1"/>
  <c r="H379" i="2" s="1"/>
  <c r="E384" i="2"/>
  <c r="E383" i="2" s="1"/>
  <c r="E385" i="2"/>
  <c r="F385" i="2"/>
  <c r="F384" i="2" s="1"/>
  <c r="F383" i="2" s="1"/>
  <c r="H385" i="2"/>
  <c r="H384" i="2" s="1"/>
  <c r="H383" i="2" s="1"/>
  <c r="H386" i="2"/>
  <c r="E387" i="2"/>
  <c r="E386" i="2" s="1"/>
  <c r="F387" i="2"/>
  <c r="H387" i="2"/>
  <c r="E388" i="2"/>
  <c r="F388" i="2"/>
  <c r="F386" i="2" s="1"/>
  <c r="H388" i="2"/>
  <c r="E391" i="2"/>
  <c r="F391" i="2"/>
  <c r="H391" i="2"/>
  <c r="H390" i="2" s="1"/>
  <c r="E392" i="2"/>
  <c r="F392" i="2"/>
  <c r="H392" i="2"/>
  <c r="E393" i="2"/>
  <c r="F393" i="2"/>
  <c r="H393" i="2"/>
  <c r="E394" i="2"/>
  <c r="F394" i="2"/>
  <c r="F390" i="2" s="1"/>
  <c r="H394" i="2"/>
  <c r="E395" i="2"/>
  <c r="F395" i="2"/>
  <c r="H395" i="2"/>
  <c r="E397" i="2"/>
  <c r="E396" i="2" s="1"/>
  <c r="F397" i="2"/>
  <c r="F396" i="2" s="1"/>
  <c r="H397" i="2"/>
  <c r="H396" i="2" s="1"/>
  <c r="E399" i="2"/>
  <c r="E398" i="2" s="1"/>
  <c r="F399" i="2"/>
  <c r="H399" i="2"/>
  <c r="E400" i="2"/>
  <c r="F400" i="2"/>
  <c r="F398" i="2" s="1"/>
  <c r="H400" i="2"/>
  <c r="E401" i="2"/>
  <c r="F401" i="2"/>
  <c r="H401" i="2"/>
  <c r="H398" i="2" s="1"/>
  <c r="E402" i="2"/>
  <c r="F402" i="2"/>
  <c r="H402" i="2"/>
  <c r="E405" i="2"/>
  <c r="E404" i="2" s="1"/>
  <c r="E403" i="2" s="1"/>
  <c r="F405" i="2"/>
  <c r="H405" i="2"/>
  <c r="H404" i="2" s="1"/>
  <c r="H403" i="2" s="1"/>
  <c r="E406" i="2"/>
  <c r="F406" i="2"/>
  <c r="F404" i="2" s="1"/>
  <c r="F403" i="2" s="1"/>
  <c r="H406" i="2"/>
  <c r="H407" i="2"/>
  <c r="E408" i="2"/>
  <c r="E407" i="2" s="1"/>
  <c r="F408" i="2"/>
  <c r="H408" i="2"/>
  <c r="E409" i="2"/>
  <c r="F409" i="2"/>
  <c r="H409" i="2"/>
  <c r="E412" i="2"/>
  <c r="F412" i="2"/>
  <c r="F411" i="2" s="1"/>
  <c r="H412" i="2"/>
  <c r="F413" i="2"/>
  <c r="H413" i="2"/>
  <c r="H411" i="2" s="1"/>
  <c r="E414" i="2"/>
  <c r="F414" i="2"/>
  <c r="H414" i="2"/>
  <c r="E415" i="2"/>
  <c r="E413" i="2" s="1"/>
  <c r="E411" i="2" s="1"/>
  <c r="E421" i="2" s="1"/>
  <c r="F415" i="2"/>
  <c r="H415" i="2"/>
  <c r="E417" i="2"/>
  <c r="E416" i="2" s="1"/>
  <c r="F417" i="2"/>
  <c r="H417" i="2"/>
  <c r="E418" i="2"/>
  <c r="F418" i="2"/>
  <c r="F416" i="2" s="1"/>
  <c r="F421" i="2" s="1"/>
  <c r="H418" i="2"/>
  <c r="H419" i="2"/>
  <c r="E420" i="2"/>
  <c r="E419" i="2" s="1"/>
  <c r="F420" i="2"/>
  <c r="F419" i="2" s="1"/>
  <c r="H420" i="2"/>
  <c r="E423" i="2"/>
  <c r="E422" i="2" s="1"/>
  <c r="E424" i="2"/>
  <c r="F424" i="2"/>
  <c r="H424" i="2"/>
  <c r="E425" i="2"/>
  <c r="F425" i="2"/>
  <c r="H425" i="2"/>
  <c r="H423" i="2" s="1"/>
  <c r="H422" i="2" s="1"/>
  <c r="E426" i="2"/>
  <c r="F426" i="2"/>
  <c r="H426" i="2"/>
  <c r="E427" i="2"/>
  <c r="F427" i="2"/>
  <c r="H427" i="2"/>
  <c r="E428" i="2"/>
  <c r="F428" i="2"/>
  <c r="H428" i="2"/>
  <c r="E429" i="2"/>
  <c r="F429" i="2"/>
  <c r="H429" i="2"/>
  <c r="E430" i="2"/>
  <c r="F430" i="2"/>
  <c r="H430" i="2"/>
  <c r="E433" i="2"/>
  <c r="E432" i="2" s="1"/>
  <c r="E431" i="2" s="1"/>
  <c r="F433" i="2"/>
  <c r="F432" i="2" s="1"/>
  <c r="F431" i="2" s="1"/>
  <c r="H433" i="2"/>
  <c r="E434" i="2"/>
  <c r="F434" i="2"/>
  <c r="H434" i="2"/>
  <c r="E435" i="2"/>
  <c r="F435" i="2"/>
  <c r="H435" i="2"/>
  <c r="E436" i="2"/>
  <c r="F436" i="2"/>
  <c r="H436" i="2"/>
  <c r="E437" i="2"/>
  <c r="F437" i="2"/>
  <c r="H437" i="2"/>
  <c r="E438" i="2"/>
  <c r="F438" i="2"/>
  <c r="H438" i="2"/>
  <c r="E439" i="2"/>
  <c r="F439" i="2"/>
  <c r="H439" i="2"/>
  <c r="E440" i="2"/>
  <c r="F440" i="2"/>
  <c r="H440" i="2"/>
  <c r="E441" i="2"/>
  <c r="F441" i="2"/>
  <c r="H441" i="2"/>
  <c r="E442" i="2"/>
  <c r="F442" i="2"/>
  <c r="H442" i="2"/>
  <c r="E443" i="2"/>
  <c r="F443" i="2"/>
  <c r="H443" i="2"/>
  <c r="E444" i="2"/>
  <c r="F444" i="2"/>
  <c r="H444" i="2"/>
  <c r="E445" i="2"/>
  <c r="F445" i="2"/>
  <c r="H445" i="2"/>
  <c r="E446" i="2"/>
  <c r="F446" i="2"/>
  <c r="H446" i="2"/>
  <c r="E447" i="2"/>
  <c r="F447" i="2"/>
  <c r="H447" i="2"/>
  <c r="E448" i="2"/>
  <c r="F448" i="2"/>
  <c r="H448" i="2"/>
  <c r="E449" i="2"/>
  <c r="F449" i="2"/>
  <c r="H449" i="2"/>
  <c r="F450" i="2"/>
  <c r="H450" i="2"/>
  <c r="E451" i="2"/>
  <c r="E450" i="2" s="1"/>
  <c r="F451" i="2"/>
  <c r="H451" i="2"/>
  <c r="E452" i="2"/>
  <c r="F452" i="2"/>
  <c r="E453" i="2"/>
  <c r="F453" i="2"/>
  <c r="H453" i="2"/>
  <c r="H452" i="2" s="1"/>
  <c r="E456" i="2"/>
  <c r="E455" i="2" s="1"/>
  <c r="E470" i="2" s="1"/>
  <c r="F456" i="2"/>
  <c r="H456" i="2"/>
  <c r="E458" i="2"/>
  <c r="F458" i="2"/>
  <c r="H458" i="2"/>
  <c r="E460" i="2"/>
  <c r="F460" i="2"/>
  <c r="H460" i="2"/>
  <c r="H455" i="2" s="1"/>
  <c r="H470" i="2" s="1"/>
  <c r="E463" i="2"/>
  <c r="F463" i="2"/>
  <c r="H463" i="2"/>
  <c r="E465" i="2"/>
  <c r="E466" i="2"/>
  <c r="F466" i="2"/>
  <c r="F465" i="2" s="1"/>
  <c r="H466" i="2"/>
  <c r="H465" i="2" s="1"/>
  <c r="E468" i="2"/>
  <c r="F468" i="2"/>
  <c r="H468" i="2"/>
  <c r="E263" i="2" l="1"/>
  <c r="E281" i="2" s="1"/>
  <c r="F410" i="2"/>
  <c r="H214" i="2"/>
  <c r="F389" i="2"/>
  <c r="H389" i="2"/>
  <c r="H410" i="2" s="1"/>
  <c r="E370" i="2"/>
  <c r="H302" i="2"/>
  <c r="H370" i="2"/>
  <c r="E365" i="2"/>
  <c r="F263" i="2"/>
  <c r="F281" i="2" s="1"/>
  <c r="H174" i="2"/>
  <c r="H246" i="2" s="1"/>
  <c r="F135" i="2"/>
  <c r="H135" i="2"/>
  <c r="E110" i="2"/>
  <c r="H382" i="2"/>
  <c r="F423" i="2"/>
  <c r="F422" i="2" s="1"/>
  <c r="F454" i="2" s="1"/>
  <c r="H416" i="2"/>
  <c r="H421" i="2" s="1"/>
  <c r="E390" i="2"/>
  <c r="E389" i="2" s="1"/>
  <c r="E410" i="2" s="1"/>
  <c r="F318" i="2"/>
  <c r="F317" i="2" s="1"/>
  <c r="F332" i="2" s="1"/>
  <c r="F214" i="2"/>
  <c r="E207" i="2"/>
  <c r="E202" i="2" s="1"/>
  <c r="F179" i="2"/>
  <c r="E179" i="2"/>
  <c r="E93" i="2"/>
  <c r="E92" i="2" s="1"/>
  <c r="F455" i="2"/>
  <c r="F470" i="2" s="1"/>
  <c r="H432" i="2"/>
  <c r="H431" i="2" s="1"/>
  <c r="H454" i="2" s="1"/>
  <c r="F407" i="2"/>
  <c r="E360" i="2"/>
  <c r="F278" i="2"/>
  <c r="E219" i="2"/>
  <c r="E214" i="2" s="1"/>
  <c r="F185" i="2"/>
  <c r="E185" i="2"/>
  <c r="E175" i="2"/>
  <c r="E174" i="2" s="1"/>
  <c r="E113" i="2"/>
  <c r="E112" i="2" s="1"/>
  <c r="E111" i="2" s="1"/>
  <c r="E135" i="2" s="1"/>
  <c r="F76" i="2"/>
  <c r="H60" i="2"/>
  <c r="H59" i="2" s="1"/>
  <c r="H110" i="2" s="1"/>
  <c r="H32" i="2"/>
  <c r="H58" i="2" s="1"/>
  <c r="E454" i="2"/>
  <c r="E382" i="2"/>
  <c r="F226" i="2"/>
  <c r="F225" i="2" s="1"/>
  <c r="F202" i="2"/>
  <c r="H179" i="2"/>
  <c r="E162" i="2"/>
  <c r="H147" i="2"/>
  <c r="F136" i="2"/>
  <c r="F155" i="2" s="1"/>
  <c r="H303" i="2"/>
  <c r="H332" i="2" s="1"/>
  <c r="E269" i="2"/>
  <c r="H263" i="2"/>
  <c r="H281" i="2" s="1"/>
  <c r="H163" i="2"/>
  <c r="H173" i="2" s="1"/>
  <c r="E173" i="2"/>
  <c r="F162" i="2"/>
  <c r="F282" i="2"/>
  <c r="F302" i="2" s="1"/>
  <c r="H259" i="2"/>
  <c r="E239" i="2"/>
  <c r="E238" i="2" s="1"/>
  <c r="H219" i="2"/>
  <c r="H197" i="2"/>
  <c r="F190" i="2"/>
  <c r="F174" i="2" s="1"/>
  <c r="F246" i="2" s="1"/>
  <c r="H137" i="2"/>
  <c r="H136" i="2" s="1"/>
  <c r="H93" i="2"/>
  <c r="H92" i="2" s="1"/>
  <c r="F60" i="2"/>
  <c r="F59" i="2" s="1"/>
  <c r="F110" i="2" s="1"/>
  <c r="H45" i="2"/>
  <c r="F32" i="2"/>
  <c r="F24" i="2"/>
  <c r="F23" i="2" s="1"/>
  <c r="F58" i="2" s="1"/>
  <c r="E45" i="2"/>
  <c r="E58" i="2" s="1"/>
  <c r="E246" i="2" l="1"/>
  <c r="H155" i="2"/>
</calcChain>
</file>

<file path=xl/sharedStrings.xml><?xml version="1.0" encoding="utf-8"?>
<sst xmlns="http://schemas.openxmlformats.org/spreadsheetml/2006/main" count="1409" uniqueCount="641">
  <si>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</si>
  <si>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</si>
  <si>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</si>
  <si>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</si>
  <si>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</si>
  <si>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</si>
  <si>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Итого по муниципальной программе</t>
  </si>
  <si>
    <t>Социальная защита населения</t>
  </si>
  <si>
    <t>Экология и окружающая среда</t>
  </si>
  <si>
    <t>Безопасность и обеспечение безопасности жизнедеятельности населения</t>
  </si>
  <si>
    <t xml:space="preserve">Формирование современной комфортной городской среды </t>
  </si>
  <si>
    <t>Порядковые № разделов и мероприятий, предусмотренных муниципальной программой</t>
  </si>
  <si>
    <t>Выполнено 
(тыс. руб.)</t>
  </si>
  <si>
    <t>Основное мероприятие 2.</t>
  </si>
  <si>
    <t>Подпрограмма 5</t>
  </si>
  <si>
    <t>Финансирование не предусмотрено</t>
  </si>
  <si>
    <t>Основное мероприятие 1.</t>
  </si>
  <si>
    <t>Подпрограмма 3</t>
  </si>
  <si>
    <t>Выполнено на 100%</t>
  </si>
  <si>
    <t>Основное мероприятие 51.</t>
  </si>
  <si>
    <t>Мероприятие 2.9.</t>
  </si>
  <si>
    <t>Подпрограмма 1</t>
  </si>
  <si>
    <t>Мероприятие 1.3.</t>
  </si>
  <si>
    <t>Мероприятие 1.4.</t>
  </si>
  <si>
    <t>Мероприятие 1.9.</t>
  </si>
  <si>
    <t>Мероприятие 1.12.</t>
  </si>
  <si>
    <t>Мероприятие 1.21.</t>
  </si>
  <si>
    <t>Мероприятие 1.22.</t>
  </si>
  <si>
    <t>Подпрограмма 2</t>
  </si>
  <si>
    <t>Мероприятие 1.1.</t>
  </si>
  <si>
    <t>Мероприятие 1.2.</t>
  </si>
  <si>
    <t>Мероприятие 1.17.</t>
  </si>
  <si>
    <t>Мероприятие 1.18.</t>
  </si>
  <si>
    <t>Основное мероприятие 3.</t>
  </si>
  <si>
    <t>Мероприятие 3.1.</t>
  </si>
  <si>
    <t>Мероприятие 3.2.</t>
  </si>
  <si>
    <t>Основное мероприятие 4.</t>
  </si>
  <si>
    <t>Мероприятие 4.1.</t>
  </si>
  <si>
    <t>Основное мероприятие 5.</t>
  </si>
  <si>
    <t>Мероприятие 1.5.</t>
  </si>
  <si>
    <t>Мероприятие 2.1.</t>
  </si>
  <si>
    <t>Мероприятие 3.3.</t>
  </si>
  <si>
    <t>Обеспечивающая подпрограмма</t>
  </si>
  <si>
    <t>Создание условий для реализации полномочий органов местного самоуправления</t>
  </si>
  <si>
    <t>Подпрограмма 4</t>
  </si>
  <si>
    <t>Мероприятие 2.2.</t>
  </si>
  <si>
    <t>Мероприятие 5.2.</t>
  </si>
  <si>
    <t>Мероприятие 5.3.</t>
  </si>
  <si>
    <t>Мероприятие 4.3.</t>
  </si>
  <si>
    <t>Мероприятие 1.6.</t>
  </si>
  <si>
    <t>Мероприятие 1.7.</t>
  </si>
  <si>
    <t>Основное мероприятие 7.</t>
  </si>
  <si>
    <t>Мероприятие 7.1.</t>
  </si>
  <si>
    <t>Мероприятие 7.2.</t>
  </si>
  <si>
    <t>Мероприятие 7.3.</t>
  </si>
  <si>
    <t>Подпрограмма 6</t>
  </si>
  <si>
    <t>Мероприятие 2.3.</t>
  </si>
  <si>
    <t>Основное мероприятие 50.</t>
  </si>
  <si>
    <t>Мероприятие 1.8.</t>
  </si>
  <si>
    <t>Мероприятие 1.10.</t>
  </si>
  <si>
    <t>Мероприятие 1.19.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</si>
  <si>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</si>
  <si>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</si>
  <si>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</si>
  <si>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</si>
  <si>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 на территории городских округов Московской области</t>
  </si>
  <si>
    <t>Основное мероприятие 8.</t>
  </si>
  <si>
    <t xml:space="preserve">Стимулирование инвестиционной деятельности </t>
  </si>
  <si>
    <t>Развитие конкуренции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</si>
  <si>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</si>
  <si>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</si>
  <si>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конкуренции в муниципальном образовании Московской области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</si>
  <si>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</si>
  <si>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</si>
  <si>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</si>
  <si>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</si>
  <si>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Мероприятие 2.4.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</si>
  <si>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"налог на профессиональный доход", осуществляющим деятельность на территории Московской области, без проведения торгов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</si>
  <si>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</si>
  <si>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</si>
  <si>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</si>
  <si>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</si>
  <si>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</si>
  <si>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</si>
  <si>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</si>
  <si>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</si>
  <si>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</si>
  <si>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</si>
  <si>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</si>
  <si>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</si>
  <si>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</si>
  <si>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</si>
  <si>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Мероприятие 2.5.</t>
  </si>
  <si>
    <t>Обеспечение жильем нуждающихся из числа привлеченных медицинских работников</t>
  </si>
  <si>
    <t>Развитие музейного дела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</si>
  <si>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</si>
  <si>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</si>
  <si>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Сохранение достигнутого уровня заработной платы работников муниципальных учреждений культуры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</si>
  <si>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</si>
  <si>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</si>
  <si>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</si>
  <si>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</si>
  <si>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</si>
  <si>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</si>
  <si>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</si>
  <si>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</si>
  <si>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</si>
  <si>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</si>
  <si>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</si>
  <si>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Мероприятие 4.2.</t>
  </si>
  <si>
    <t>Мероприятия в сфере культуры</t>
  </si>
  <si>
    <t>Мероприятие 5.6.</t>
  </si>
  <si>
    <t>Выполнение работ по обеспечению пожарной безопасности в культурно-досуговых учреждениях</t>
  </si>
  <si>
    <t>Обеспечение функций муниципальных учреждений культуры Московской области</t>
  </si>
  <si>
    <t>Укрепление материально-технической базы муниципальных учреждений культуры</t>
  </si>
  <si>
    <t>Создание доступной среды</t>
  </si>
  <si>
    <t>Развитие образования в сфере культуры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</si>
  <si>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</si>
  <si>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</si>
  <si>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</si>
  <si>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</si>
  <si>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>Основное мероприятие A1.</t>
  </si>
  <si>
    <t>Культурная среда</t>
  </si>
  <si>
    <t>Подпрограмма 8</t>
  </si>
  <si>
    <t>Обеспечение деятельности муниципальных органов - учреждения в сфере культуры</t>
  </si>
  <si>
    <t>Социальная поддержка граждан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</si>
  <si>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</si>
  <si>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</si>
  <si>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</si>
  <si>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</si>
  <si>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</si>
  <si>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</si>
  <si>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</si>
  <si>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</si>
  <si>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</si>
  <si>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</si>
  <si>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</si>
  <si>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</si>
  <si>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</si>
  <si>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</si>
  <si>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</si>
  <si>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</si>
  <si>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Развитие системы отдыха и оздоровления детей</t>
  </si>
  <si>
    <t>Мероприятия по организации отдыха детей в каникулярное время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</si>
  <si>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</si>
  <si>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</si>
  <si>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</si>
  <si>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</si>
  <si>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</si>
  <si>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</si>
  <si>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</si>
  <si>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Осуществление имущественной, информационной и консультационной поддержки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</si>
  <si>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</si>
  <si>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</si>
  <si>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</si>
  <si>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</si>
  <si>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</si>
  <si>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муниципальных учреждений в области физической культуры и спорта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</si>
  <si>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</si>
  <si>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</si>
  <si>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</si>
  <si>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</si>
  <si>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</si>
  <si>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</si>
  <si>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Развитие вратарского мастерства по футболу</t>
  </si>
  <si>
    <t>Подготовка спортивного резерва</t>
  </si>
  <si>
    <t>Подготовка спортивных сборных команд</t>
  </si>
  <si>
    <t>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</si>
  <si>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Предоставление субсидий на иные цели из бюджета муниципального образования муниципальным учреждениям по подготовке спортивного резерва</t>
  </si>
  <si>
    <t>Вовлечение в оборот земель сельскохозяйственного назначения и развитие мелиорации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</si>
  <si>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</si>
  <si>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</si>
  <si>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</si>
  <si>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>Сохранение ветеринарно-санитарного благополучия</t>
  </si>
  <si>
    <t>Охрана окружающей среды</t>
  </si>
  <si>
    <t>Проведение обследований состояния окружающей среды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</si>
  <si>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</si>
  <si>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</si>
  <si>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</si>
  <si>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</si>
  <si>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</si>
  <si>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</si>
  <si>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>Проведение выставок, семинаров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</si>
  <si>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</si>
  <si>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</si>
  <si>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Ликвидация несанкционированных свалок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</si>
  <si>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</si>
  <si>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</si>
  <si>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</si>
  <si>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</si>
  <si>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</si>
  <si>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Обеспечение деятельности общественных объединений правоохранительной направленности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</si>
  <si>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</si>
  <si>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</si>
  <si>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</si>
  <si>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</si>
  <si>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</si>
  <si>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</si>
  <si>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</si>
  <si>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</si>
  <si>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</si>
  <si>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</si>
  <si>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</si>
  <si>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</si>
  <si>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</si>
  <si>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</si>
  <si>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</si>
  <si>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5.1.</t>
  </si>
  <si>
    <t>Мероприятие 5.4.</t>
  </si>
  <si>
    <t>Мероприятие 5.5.</t>
  </si>
  <si>
    <t>Развитие похоронного дела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</si>
  <si>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</si>
  <si>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</si>
  <si>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</si>
  <si>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</si>
  <si>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Содержание и эксплуатация Системы-112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</si>
  <si>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</si>
  <si>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</si>
  <si>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</si>
  <si>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</si>
  <si>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</si>
  <si>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</si>
  <si>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</si>
  <si>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</si>
  <si>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</si>
  <si>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</si>
  <si>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</si>
  <si>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</si>
  <si>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</si>
  <si>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</si>
  <si>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</si>
  <si>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</si>
  <si>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</si>
  <si>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</si>
  <si>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</si>
  <si>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</si>
  <si>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</si>
  <si>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</si>
  <si>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</si>
  <si>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</si>
  <si>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</si>
  <si>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</si>
  <si>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</si>
  <si>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</si>
  <si>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</si>
  <si>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</si>
  <si>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</si>
  <si>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</si>
  <si>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</si>
  <si>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</si>
  <si>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</si>
  <si>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</si>
  <si>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</si>
  <si>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</si>
  <si>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</si>
  <si>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</si>
  <si>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</si>
  <si>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</si>
  <si>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</si>
  <si>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</si>
  <si>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</si>
  <si>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</si>
  <si>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</si>
  <si>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</si>
  <si>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</si>
  <si>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</si>
  <si>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Строительство и реконструкция сетей водоснабжения, водоотведения, теплоснабжения муниципальной собственности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</si>
  <si>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</si>
  <si>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</si>
  <si>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</si>
  <si>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Реализация полномочий в сфере жилищно-коммунального хозяйства</t>
  </si>
  <si>
    <t>Финансовое обеспечение расходов, направленных на осуществление полномочий в сфере жилищно-коммунального хозяйства</t>
  </si>
  <si>
    <t>Общее образование</t>
  </si>
  <si>
    <t>Финансовое обеспечение деятельности образовательных организаций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</si>
  <si>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</si>
  <si>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</si>
  <si>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1.11.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</si>
  <si>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</si>
  <si>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</si>
  <si>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</si>
  <si>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Мероприятия в сфере образования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</si>
  <si>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</si>
  <si>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</si>
  <si>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</si>
  <si>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</si>
  <si>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</si>
  <si>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</si>
  <si>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</si>
  <si>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</si>
  <si>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</si>
  <si>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</si>
  <si>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Повышение степени пожарной безопасности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</si>
  <si>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</si>
  <si>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</si>
  <si>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Основное мероприятие EВ.</t>
  </si>
  <si>
    <t>Патриотическое воспитание граждан Российской Федерации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</si>
  <si>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</si>
  <si>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</si>
  <si>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P2.</t>
  </si>
  <si>
    <t>Содействие занятости</t>
  </si>
  <si>
    <t>Мероприятие P2.1.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</si>
  <si>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</si>
  <si>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Дополнительное образование, воспитание и психолого-социальное сопровождение детей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</si>
  <si>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</si>
  <si>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</si>
  <si>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</si>
  <si>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</si>
  <si>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</si>
  <si>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</si>
  <si>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Выполнение работ по обеспечению пожарной безопасности в муниципальных организациях дополнительного образования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</si>
  <si>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</si>
  <si>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</si>
  <si>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Объем финансирования на 2024 год 
(тыс. руб.)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</si>
  <si>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</si>
  <si>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</si>
  <si>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</si>
  <si>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</si>
  <si>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Финансовое обеспечение организаций дополнительного образования сферы культуры Московской области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</si>
  <si>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</si>
  <si>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Культура и туризм</t>
  </si>
  <si>
    <t>Образование</t>
  </si>
  <si>
    <t>Спорт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</si>
  <si>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</si>
  <si>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Укрепление материально-технической базы, содержание имущества и проведение текущего ремонта общеобразовательных организаций</t>
  </si>
  <si>
    <t>Мероприятие 1.23.</t>
  </si>
  <si>
    <t>Мероприятие 1.24.</t>
  </si>
  <si>
    <t>Мероприятие 1.25.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</si>
  <si>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</si>
  <si>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Основное мероприятие E2.</t>
  </si>
  <si>
    <t>Успех каждого ребенка</t>
  </si>
  <si>
    <t>Мероприятие E2.2.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</si>
  <si>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</si>
  <si>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Создание условий для занятий физической культурой и спортом, включая благоустройство территорий, прилегающих к обустраиваемым плоскостным спортивным сооружениям, в том числе снос расположенных на таких земельных участках объектов капитального строительства, находящихся в аварийном состоянии, и (или) признанных непригодными для эксплуатации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</si>
  <si>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</si>
  <si>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Развитие сельского хозяйства</t>
  </si>
  <si>
    <t>Обеспечение мероприятий по защите населения и территорий от чрезвычайных ситуаций</t>
  </si>
  <si>
    <t>Развитие и эксплуатация Системы-112</t>
  </si>
  <si>
    <t>Развитие Системы-112</t>
  </si>
  <si>
    <t>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</si>
  <si>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Пропаганда знаний в области гражданской обороны, защиты населения и территории от чрезвычайных ситуаций</t>
  </si>
  <si>
    <t>Поддержание в постоянной готовности МСОН</t>
  </si>
  <si>
    <t>Развитие и модернизация МСОН</t>
  </si>
  <si>
    <t>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</si>
  <si>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Предоставление жилищного сертификата и единовременной социальной выплаты</t>
  </si>
  <si>
    <t>Оказание государственной поддержки по обеспечению жильем отдельных категорий граждан из числа ветеранов и инвалидов Великой Отечественной войны 1941 - 1945 годов и членов их семей</t>
  </si>
  <si>
    <t>Жилище</t>
  </si>
  <si>
    <t>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</t>
  </si>
  <si>
    <t>Мероприятие 2.6.</t>
  </si>
  <si>
    <t>Реализация первоочередных мероприятий по строительству и реконструкции сетей теплоснабжения муниципальной собственности</t>
  </si>
  <si>
    <t>Реализация мероприятий по строительству и реконструкции сетей теплоснабжения муниципальной собственности</t>
  </si>
  <si>
    <t>Развитие инженерной инфраструктуры, энергоэффективности и отрасли обращения с отходам</t>
  </si>
  <si>
    <t>Предоставление субъектам малого и среднего предпринимательства на территории парков культуры и отдыха городских округов Московской области мест для размещения нестационарных торговых объектов без проведения торгов на льготных условиях при организации: мобильной торговли (в мобильных пунктах быстрого питания (фудтраках) и передвижных сооружениях (тележках), торговли в киосках малых площадью до 9 кв. м включительно и торговых автоматах (вендинговых автоматах)</t>
  </si>
  <si>
    <t>Предпринимательство</t>
  </si>
  <si>
    <t>Управление имуществом и муниципальными финансами</t>
  </si>
  <si>
    <t>Развитие институтов гражданского общества, повышение эффективности местного самоуправления и реализации молодежной политики</t>
  </si>
  <si>
    <t>Развитие и функционирование дорожно-транспортного комплекса</t>
  </si>
  <si>
    <t>Цифровое муниципальное образование</t>
  </si>
  <si>
    <t>Архитектура и градостроительство</t>
  </si>
  <si>
    <t>Строительство и капитальный ремонт объектов социальной инфраструктуры</t>
  </si>
  <si>
    <t>Выполнено на 77,3%</t>
  </si>
  <si>
    <t>Выполнено на 89,6%</t>
  </si>
  <si>
    <t>Выполнено на 99,6%</t>
  </si>
  <si>
    <t>Выполнено на 76,1%</t>
  </si>
  <si>
    <t>Выполнено на 81,3%</t>
  </si>
  <si>
    <t>Выполнено на 65,9%</t>
  </si>
  <si>
    <t>Реализация мероприятий по строительству и реконструкции объектов теплоснабжения муниципальной собственности</t>
  </si>
  <si>
    <t>Реализация мероприятий по капитальному ремонту объектов теплоснабжения</t>
  </si>
  <si>
    <t>Строительство и реконструкция (модернизация, техническое перевооружение) объектов теплоснабжения муниципальной собственности</t>
  </si>
  <si>
    <t>Реализация мероприятий по капитальному ремонту сетей теплоснабжения на территории муниципальных образований</t>
  </si>
  <si>
    <t>Cтроительство и реконструкция сетей теплоснабжения на территории муниципальных образований Московской области</t>
  </si>
  <si>
    <t>Создание экономических условий для повышения эффективности работы организаций жилищно-коммунального хозяйства Московской области</t>
  </si>
  <si>
    <t>Выполнено на 96,4%</t>
  </si>
  <si>
    <t>Выполнено на 99,9%</t>
  </si>
  <si>
    <t>Эффективное управление имущественным комплексом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</si>
  <si>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</si>
  <si>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</si>
  <si>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</si>
  <si>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</si>
  <si>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</si>
  <si>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</si>
  <si>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</si>
  <si>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</si>
  <si>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</si>
  <si>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Управление муниципальными финансами</t>
  </si>
  <si>
    <t>Разработка проекта бюджета и исполнение бюджета городского округа</t>
  </si>
  <si>
    <t>Снижение уровня задолженности по налоговым платежам</t>
  </si>
  <si>
    <t>Функционирование высшего должностного лица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</si>
  <si>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</si>
  <si>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</si>
  <si>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</si>
  <si>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</si>
  <si>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Организация и осуществление мероприятий по мобилизационной подготовке</t>
  </si>
  <si>
    <t>Взносы в уставной капитал муниципальных предприятий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</si>
  <si>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</si>
  <si>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99,1%</t>
  </si>
  <si>
    <t>Мероприятие 1.16.</t>
  </si>
  <si>
    <t>Обеспечение деятельности муниципальных центров управления регионом</t>
  </si>
  <si>
    <t>Обеспечение деятельности муниципальных казенных учреждений в сфере закупок товаров, работ, услуг</t>
  </si>
  <si>
    <t>Субсидии из бюджета городского округа Московской области бюджетам других городских округов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</si>
  <si>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</si>
  <si>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</si>
  <si>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</si>
  <si>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</si>
  <si>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смс информирования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</si>
  <si>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</si>
  <si>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</si>
  <si>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</si>
  <si>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</si>
  <si>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</si>
  <si>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Организация создания и эксплуатации сети объектов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</si>
  <si>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</si>
  <si>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</si>
  <si>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</si>
  <si>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Мир и согласие. Новые возможности</t>
  </si>
  <si>
    <t>Организация и проведение мероприятий по укреплению единства российской нации и этнокультурному развитию народов России</t>
  </si>
  <si>
    <t>Эффективное местное самоуправление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</si>
  <si>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</si>
  <si>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</si>
  <si>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</si>
  <si>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</si>
  <si>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</si>
  <si>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</si>
  <si>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</si>
  <si>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</si>
  <si>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</si>
  <si>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</si>
  <si>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</si>
  <si>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</si>
  <si>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</si>
  <si>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Пассажирский транспорт общего пользования</t>
  </si>
  <si>
    <t>Обеспечение развития транспортной инфраструктуры и безопасности населения на объектах</t>
  </si>
  <si>
    <t>Обеспечение транспортной безопасности населения Московской области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</si>
  <si>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</si>
  <si>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</si>
  <si>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</si>
  <si>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</si>
  <si>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</si>
  <si>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Мероприятие в рамках ГП МО - Капитальный ремонт и ремонт автомобильных дорог общего пользования местного значения</t>
  </si>
  <si>
    <t>Мероприятие, не включенное в ГП МО - Капитальный ремонт и ремонт автомобильных дорог общего пользования местного значения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</si>
  <si>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</si>
  <si>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</si>
  <si>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Мероприятие 4.9.</t>
  </si>
  <si>
    <t>Мероприятия по обеспечению безопасности дорожного движения</t>
  </si>
  <si>
    <t>Расходы на обеспечение деятельности (оказание услуг) муниципальных учреждений в сфере дорожного хозяйства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</si>
  <si>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</si>
  <si>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</si>
  <si>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</si>
  <si>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Мероприятие, не включенное в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</si>
  <si>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</si>
  <si>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</si>
  <si>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</si>
  <si>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</si>
  <si>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</si>
  <si>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</si>
  <si>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</si>
  <si>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 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 компьютерных атак, средств автоматизации деятельности по защите информации,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</si>
  <si>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</si>
  <si>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</si>
  <si>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</si>
  <si>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</si>
  <si>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E4.</t>
  </si>
  <si>
    <t>Цифровая образовательная среда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</si>
  <si>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</si>
  <si>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</si>
  <si>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Развитие архивного дела</t>
  </si>
  <si>
    <t>Хранение, комплектование, учет и использование архивных документов в муниципальных архивах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</si>
  <si>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</si>
  <si>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</si>
  <si>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</si>
  <si>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Обеспечение разработки и внесение изменений в нормативы градостроительного проектирования городского округа</t>
  </si>
  <si>
    <t>Разработка и внесение изменений в нормативы градостроительного проектирования городского округа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</si>
  <si>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</t>
  </si>
  <si>
    <t>Реализация политики пространственного развития городского округа</t>
  </si>
  <si>
    <t>Обеспечение подготовки документации по планировке территории в соответствии с документами территориального планирования Московской области, документами территориального планирования муниципального образования Московской области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</si>
  <si>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</si>
  <si>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</si>
  <si>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Ликвидация самовольных, недостроенных и аварийных объектов на территории городского округа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</si>
  <si>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</si>
  <si>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</si>
  <si>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Обустройство и установка детских, игровых площадок на территории муниципальных образований</t>
  </si>
  <si>
    <t>Мероприятие в рамках ГП МО - Устройство систем наружного освещения в рамках реализации проекта "Светлый город"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</si>
  <si>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</si>
  <si>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</si>
  <si>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</si>
  <si>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</si>
  <si>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Мероприятие, не включенное в ГП МО - Устройство систем наружного освещения в рамках реализации проекта "Светлый город"</t>
  </si>
  <si>
    <t>Основное мероприятие F2.</t>
  </si>
  <si>
    <t>Формирование комфортной городской среды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</si>
  <si>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</si>
  <si>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Обеспечение комфортной среды проживания на территории муниципального образования Московской области</t>
  </si>
  <si>
    <t>Мероприятие в рамках ГП МО - Ямочный ремонт асфальтового покрытия дворовых территорий</t>
  </si>
  <si>
    <t>Мероприятие в рамках ГП МО - Создание и ремонт пешеходных коммуникаций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</si>
  <si>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</si>
  <si>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Устройство и модернизация контейнерных площадок</t>
  </si>
  <si>
    <t>Мероприятие 1.15.</t>
  </si>
  <si>
    <t>Содержание дворовых территорий</t>
  </si>
  <si>
    <t>Содержание общественных пространств (за исключением парков культуры и отдыха)</t>
  </si>
  <si>
    <t>Комплексное благоустройство дворовых территорий (установка новых и замена существующих элементов)</t>
  </si>
  <si>
    <t>Содержание парков культуры и отдыха</t>
  </si>
  <si>
    <t>Содержание внутриквартальных проездов</t>
  </si>
  <si>
    <t>Замена и модернизация детских игровых площадок</t>
  </si>
  <si>
    <t>Содержание, ремонт и восстановление уличного освещения</t>
  </si>
  <si>
    <t>Замена неэнергоэффективных светильников наружного освещения</t>
  </si>
  <si>
    <t>Установка шкафов управления наружным освещением</t>
  </si>
  <si>
    <t>Мероприятие 1.27.</t>
  </si>
  <si>
    <t>Мероприятие, не включенное в ГП МО - Ямочный ремонт асфальтового покрытия дворовых территорий</t>
  </si>
  <si>
    <t>Мероприятие 1.28.</t>
  </si>
  <si>
    <t>Мероприятие, не включенное в ГП МО - Создание и ремонт пешеходных коммуникаций</t>
  </si>
  <si>
    <t>Мероприятие 1.29.</t>
  </si>
  <si>
    <t>Модернизация асфальтовых и иных покрытий с дополнительным благоустройством на дворовых территориях</t>
  </si>
  <si>
    <t>Мероприятие 1.30.</t>
  </si>
  <si>
    <t>Модернизация детских игровых площадок, установленных ранее с привлечением средств бюджета Московской области</t>
  </si>
  <si>
    <t>Приведение в надлежащее состояние подъездов в многоквартирных домах</t>
  </si>
  <si>
    <t>Мероприятие в рамках ГП МО - Ремонт подъездов в многоквартирных домах</t>
  </si>
  <si>
    <t>Мероприятие F2.1.</t>
  </si>
  <si>
    <t>Мероприятие в рамках ГП МО - Ремонт дворовых территорий</t>
  </si>
  <si>
    <t>Строительство (реконструкция), капитальный ремонт объектов образования</t>
  </si>
  <si>
    <t>Организация строительства (реконструкции) объектов дошкольного образования</t>
  </si>
  <si>
    <t>Организация строительства (реконструкции) объектов общего образования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</si>
  <si>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за счет средств местного бюджета</t>
  </si>
  <si>
    <t>Основное мероприятие 6.</t>
  </si>
  <si>
    <t>Капитальный ремонт объектов дошкольного образования</t>
  </si>
  <si>
    <t>Выполнено на 97,9%</t>
  </si>
  <si>
    <t>Мероприятие 6.1.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</si>
  <si>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</si>
  <si>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Мероприятие 6.2.</t>
  </si>
  <si>
    <t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</si>
  <si>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</si>
  <si>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</si>
  <si>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</si>
  <si>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</si>
  <si>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Строительство (реконструкция), капитальный ремонт объектов физической культуры и спорта</t>
  </si>
  <si>
    <t>Организация строительства (реконструкции) объектов физической культуры и спорта за счет внебюджетных источников</t>
  </si>
  <si>
    <t>Мероприятие 51.52.</t>
  </si>
  <si>
    <t>Основное мероприятие P5.</t>
  </si>
  <si>
    <t>Спорт – норма жизни</t>
  </si>
  <si>
    <t>Выполнено на 40,7%</t>
  </si>
  <si>
    <t>ОПЕРАТИВНЫЙ ОТЧЕТ О ВЫПОЛНЕНИИ МУНИЦИПАЛЬНЫХ ПРОГРАММ ГОРОДСКОГО ОКРУГА РЕУТОВ ЗА 2024 ГОД</t>
  </si>
  <si>
    <t>Проведение профилактических медицинских осмотров и диспансеризации населения</t>
  </si>
  <si>
    <t>Информирование застрахованных лиц о видах, качестве и об условиях предоставления им медицинской помощи медицинскими организациями</t>
  </si>
  <si>
    <t>Модернизация (развитие) материально-технической базы муниципальных библиотек</t>
  </si>
  <si>
    <t>Выполнено на 99,8%</t>
  </si>
  <si>
    <t>Проведение капитального ремонта, текущего ремонта и благоустройство территорий культурно-досуговых учреждений культуры</t>
  </si>
  <si>
    <t>Выполнение работ по обеспечению пожарной безопасности в театрально-концертных организациях</t>
  </si>
  <si>
    <t>Выполнено на 98,2%</t>
  </si>
  <si>
    <t>Обеспечение современных условий организации образовательного и учебно-производственного процесса</t>
  </si>
  <si>
    <t>Выполнено на 88,8%</t>
  </si>
  <si>
    <t>Сохранение достигнутого уровня заработной платы педагогических работников организаций дополнительного образования сферы культуры</t>
  </si>
  <si>
    <t>Выполнено на 94,5%</t>
  </si>
  <si>
    <t>Выполнено на 99,3%</t>
  </si>
  <si>
    <t>Выполнено на 98,3%</t>
  </si>
  <si>
    <t>Проведение капитального ремонта, технического переоснащения и благоустройства территорий учреждений образования</t>
  </si>
  <si>
    <t>Выполнено на 99,2%</t>
  </si>
  <si>
    <t>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</si>
  <si>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99,7%</t>
  </si>
  <si>
    <t>Выполнено на 95,9%</t>
  </si>
  <si>
    <t>Выполнено на 74,4%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</si>
  <si>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</si>
  <si>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Выполнено на 94,7%</t>
  </si>
  <si>
    <t>Выполнено на 95%</t>
  </si>
  <si>
    <t>Выполнено на 97,6%</t>
  </si>
  <si>
    <t>Мероприятие 1.26.</t>
  </si>
  <si>
    <t>Оснащение и лицензирование медицинских кабинетов образовательных организаций</t>
  </si>
  <si>
    <t>Выполнено на 96,6%</t>
  </si>
  <si>
    <t>Выполнено на 92,8%</t>
  </si>
  <si>
    <t>Мероприятие 2.18.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</si>
  <si>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</si>
  <si>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</si>
  <si>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Проведение капитального ремонта объектов дошкольного образования, закупка оборудования</t>
  </si>
  <si>
    <t>Мероприятие P2.2.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</si>
  <si>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</si>
  <si>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Выполнено на 99,4%</t>
  </si>
  <si>
    <t>Выполнено на 99,5%</t>
  </si>
  <si>
    <t>Мероприятия в сфере дополнительного образования</t>
  </si>
  <si>
    <t>Мероприятие 2.7.</t>
  </si>
  <si>
    <t>Сохранение достигнутого уровня заработной платы педагогических работников организаций дополнительного образования сферы образования</t>
  </si>
  <si>
    <t>Выполнено на 83,8%</t>
  </si>
  <si>
    <t>Выполнено на 98,4%</t>
  </si>
  <si>
    <t>Выполнено на 93,4%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</si>
  <si>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диабетом, специализированного лечебного питания 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</si>
  <si>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препаратов (ЖНВЛП)</t>
  </si>
  <si>
    <t>Выполнено на 53,2%</t>
  </si>
  <si>
    <t>Сохранение достигнутого уровня заработной платы отдельных категорий работников учреждений физической культуры и спорта</t>
  </si>
  <si>
    <t>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</t>
  </si>
  <si>
    <t>Выполнено на 79,3%</t>
  </si>
  <si>
    <t>Выполнено на 81,2%</t>
  </si>
  <si>
    <t>Выполнено на 88,2%</t>
  </si>
  <si>
    <t>Выполнено на 62%</t>
  </si>
  <si>
    <t>Выполнено на 68,8%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</si>
  <si>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площадках, социальных объектах, контейнерных площадках</t>
  </si>
  <si>
    <t>Проведение работ по установке видеокамер на подъездах многоквартирных домов и подключению их к системе "Безопасный регион" (в т.ч. в рамках муниципальных контрактов на оказание услуг по предоставлению видеоизображений для системы "Безопасный регион")</t>
  </si>
  <si>
    <t>Мероприятие 4.7.</t>
  </si>
  <si>
    <t>Оказание услуг по предоставлению видеоизображения для системы "Безопасный регион" с видеокамер исполнителя, установленных на входных группах в подъезды многоквартирных домов</t>
  </si>
  <si>
    <t>Мероприятие 7.4.</t>
  </si>
  <si>
    <t>Расходы на обеспечение деятельности (оказание услуг) в сфере похоронного дела</t>
  </si>
  <si>
    <t>Организация деятельности аварийно-спасательных формирований на территории муниципального образования Московской области</t>
  </si>
  <si>
    <t>Выполнено на 95,8%</t>
  </si>
  <si>
    <t>Выполнено на 19,5%</t>
  </si>
  <si>
    <t>Выполнено на 93,2%</t>
  </si>
  <si>
    <t>Выполнено на 75,8%</t>
  </si>
  <si>
    <t>Выполнено на 99%</t>
  </si>
  <si>
    <t>Выполнено на 93%</t>
  </si>
  <si>
    <t>Выполнено на 98,8%</t>
  </si>
  <si>
    <t>Выполнено на 98,9%</t>
  </si>
  <si>
    <t>Выполнено на 77,6%</t>
  </si>
  <si>
    <t xml:space="preserve">Выполнено на 100%
</t>
  </si>
  <si>
    <t>Проведение мероприятий, направленных на укрепление гражданского единства и гармонизацию межнациональных и межконфессиональных отношений</t>
  </si>
  <si>
    <t>Проведение мероприятий по социально-культурной адаптации и интеграции иностранных граждан</t>
  </si>
  <si>
    <t>Организация и проведение мероприятий (акций) для добровольцев (волонтеров)</t>
  </si>
  <si>
    <t>Финансирование не предусмотено</t>
  </si>
  <si>
    <t>Cофинансирование работ по капитальному ремонту автомобильных дорог общего пользования местного значения</t>
  </si>
  <si>
    <t>Выполнено на 97,7%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</si>
  <si>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</si>
  <si>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Выполнено на 78,3%</t>
  </si>
  <si>
    <t>Мероприятие в рамках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</si>
  <si>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Выполнено на 78,1%</t>
  </si>
  <si>
    <t>Выполнено на 95,2%</t>
  </si>
  <si>
    <t>Выполнено на 96,3%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</si>
  <si>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 за счет средств местного бюджета</t>
  </si>
  <si>
    <t>Выполнено на 84,4%</t>
  </si>
  <si>
    <t>Выполнено на 97%</t>
  </si>
  <si>
    <t>Выполнено на 94,4%</t>
  </si>
  <si>
    <t xml:space="preserve">Финансирование не предусмотрено 
</t>
  </si>
  <si>
    <t>Проектирование и строительство дошкольных образовательных организаций</t>
  </si>
  <si>
    <t>Мероприятие P5.1.</t>
  </si>
  <si>
    <t>Капитальные вложения в муниципальные объекты физической культуры и спорта</t>
  </si>
  <si>
    <t xml:space="preserve">Финансирование не предусмотрено 
</t>
  </si>
  <si>
    <t xml:space="preserve">Выполнено на 100%
</t>
  </si>
  <si>
    <t>Выполнение 99,97%</t>
  </si>
  <si>
    <t xml:space="preserve">Финансирование не предусмотрено
</t>
  </si>
  <si>
    <t>Выполнение 100%</t>
  </si>
  <si>
    <t>Выполненно на  100%</t>
  </si>
  <si>
    <t xml:space="preserve">Выполненно на  100%
</t>
  </si>
  <si>
    <t xml:space="preserve">Выполнено на 100 %
</t>
  </si>
  <si>
    <t>Выполнено на 99,74%</t>
  </si>
  <si>
    <t xml:space="preserve">Выполнено на 99,95%
</t>
  </si>
  <si>
    <t xml:space="preserve">Выполнено на 99,8%
</t>
  </si>
  <si>
    <t xml:space="preserve">Выполнено 100%
</t>
  </si>
  <si>
    <t xml:space="preserve">Выполнено на 99,6%
</t>
  </si>
  <si>
    <t xml:space="preserve">Выполнено на 98,9%
</t>
  </si>
  <si>
    <t>Итого по муниципальным программам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</si>
</sst>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51">
    <xf numFmtId="0" fontId="0" fillId="0" borderId="0" xfId="0"/>
    <xf numFmtId="0" fontId="2" fillId="0" borderId="9" xfId="0" applyNumberFormat="1" applyFont="1" applyFill="1" applyBorder="1" applyAlignment="1" applyProtection="1">
      <alignment vertical="top" wrapText="1" shrinkToFit="1"/>
      <protection locked="0"/>
    </xf>
    <xf numFmtId="0" fontId="3" fillId="0" borderId="2" xfId="0" applyNumberFormat="1" applyFont="1" applyFill="1" applyBorder="1" applyAlignment="1" applyProtection="1">
      <alignment vertical="top" wrapText="1" shrinkToFi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Alignment="1">
      <alignment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4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Fill="1" applyAlignment="1">
      <alignment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3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Alignment="1" applyProtection="1">
      <alignment wrapText="1" shrinkToFit="1"/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top" wrapText="1" shrinkToFit="1"/>
    </xf>
    <xf numFmtId="4" fontId="6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" fontId="8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9" xfId="0" applyNumberFormat="1" applyFont="1" applyFill="1" applyBorder="1" applyAlignment="1" applyProtection="1">
      <alignment vertical="top" wrapText="1" shrinkToFit="1"/>
      <protection locked="0"/>
    </xf>
    <xf numFmtId="0" fontId="3" fillId="0" borderId="9" xfId="0" applyNumberFormat="1" applyFont="1" applyFill="1" applyBorder="1" applyAlignment="1" applyProtection="1">
      <alignment vertical="top" wrapText="1" shrinkToFit="1"/>
      <protection locked="0"/>
    </xf>
    <xf numFmtId="0" fontId="9" fillId="0" borderId="9" xfId="0" applyNumberFormat="1" applyFont="1" applyFill="1" applyBorder="1" applyAlignment="1" applyProtection="1">
      <alignment vertical="top" wrapText="1" shrinkToFit="1"/>
      <protection locked="0"/>
    </xf>
    <xf numFmtId="0" fontId="2" fillId="0" borderId="2" xfId="0" applyNumberFormat="1" applyFont="1" applyFill="1" applyBorder="1" applyAlignment="1" applyProtection="1">
      <alignment vertical="top" wrapText="1" shrinkToFit="1"/>
      <protection locked="0"/>
    </xf>
    <xf numFmtId="0" fontId="10" fillId="0" borderId="2" xfId="0" applyNumberFormat="1" applyFont="1" applyFill="1" applyBorder="1" applyAlignment="1" applyProtection="1">
      <alignment vertical="top" wrapText="1" shrinkToFit="1"/>
      <protection locked="0"/>
    </xf>
    <xf numFmtId="4" fontId="10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9" xfId="0" applyNumberFormat="1" applyFont="1" applyFill="1" applyBorder="1" applyAlignment="1" applyProtection="1">
      <alignment vertical="center" wrapText="1" shrinkToFit="1"/>
      <protection locked="0"/>
    </xf>
    <xf numFmtId="0" fontId="3" fillId="0" borderId="2" xfId="0" applyNumberFormat="1" applyFont="1" applyFill="1" applyBorder="1" applyAlignment="1" applyProtection="1">
      <alignment vertical="center" wrapText="1" shrinkToFit="1"/>
      <protection locked="0"/>
    </xf>
    <xf numFmtId="0" fontId="2" fillId="0" borderId="9" xfId="0" applyNumberFormat="1" applyFont="1" applyFill="1" applyBorder="1" applyAlignment="1" applyProtection="1">
      <alignment vertical="center" wrapText="1" shrinkToFit="1"/>
      <protection locked="0"/>
    </xf>
    <xf numFmtId="0" fontId="2" fillId="0" borderId="2" xfId="0" applyNumberFormat="1" applyFont="1" applyFill="1" applyBorder="1" applyAlignment="1" applyProtection="1">
      <alignment vertical="center" wrapText="1" shrinkToFit="1"/>
      <protection locked="0"/>
    </xf>
    <xf numFmtId="0" fontId="6" fillId="0" borderId="9" xfId="0" applyNumberFormat="1" applyFont="1" applyFill="1" applyBorder="1" applyAlignment="1" applyProtection="1">
      <alignment vertical="center" wrapText="1" shrinkToFit="1"/>
      <protection locked="0"/>
    </xf>
    <xf numFmtId="0" fontId="6" fillId="0" borderId="2" xfId="0" applyNumberFormat="1" applyFont="1" applyFill="1" applyBorder="1" applyAlignment="1" applyProtection="1">
      <alignment vertical="center" wrapText="1" shrinkToFit="1"/>
      <protection locked="0"/>
    </xf>
    <xf numFmtId="0" fontId="8" fillId="0" borderId="9" xfId="0" applyNumberFormat="1" applyFont="1" applyFill="1" applyBorder="1" applyAlignment="1" applyProtection="1">
      <alignment vertical="center" wrapText="1" shrinkToFit="1"/>
      <protection locked="0"/>
    </xf>
    <xf numFmtId="0" fontId="8" fillId="0" borderId="2" xfId="0" applyNumberFormat="1" applyFont="1" applyFill="1" applyBorder="1" applyAlignment="1" applyProtection="1">
      <alignment vertical="center" wrapText="1" shrinkToFi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2" xfId="0" applyNumberFormat="1" applyFont="1" applyFill="1" applyBorder="1" applyAlignment="1" applyProtection="1">
      <alignment vertical="top" wrapText="1" shrinkToFit="1"/>
      <protection locked="0"/>
    </xf>
    <xf numFmtId="4" fontId="1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3" xfId="0" applyNumberFormat="1" applyFont="1" applyFill="1" applyBorder="1" applyAlignment="1" applyProtection="1">
      <alignment horizontal="left" vertical="top" wrapText="1" shrinkToFit="1"/>
      <protection locked="0"/>
    </xf>
    <xf numFmtId="0" fontId="11" fillId="0" borderId="14" xfId="0" applyNumberFormat="1" applyFont="1" applyFill="1" applyBorder="1" applyAlignment="1" applyProtection="1">
      <alignment horizontal="left" vertical="top" wrapText="1" shrinkToFit="1"/>
      <protection locked="0"/>
    </xf>
    <xf numFmtId="0" fontId="7" fillId="0" borderId="10" xfId="0" applyFont="1" applyFill="1" applyBorder="1" applyAlignment="1">
      <alignment horizontal="center" vertical="top" wrapText="1" shrinkToFit="1"/>
    </xf>
    <xf numFmtId="0" fontId="7" fillId="0" borderId="11" xfId="0" applyFont="1" applyFill="1" applyBorder="1" applyAlignment="1">
      <alignment horizontal="center" vertical="top" wrapText="1" shrinkToFit="1"/>
    </xf>
    <xf numFmtId="0" fontId="7" fillId="0" borderId="12" xfId="0" applyFont="1" applyFill="1" applyBorder="1" applyAlignment="1">
      <alignment horizontal="center" vertical="top" wrapText="1" shrinkToFit="1"/>
    </xf>
    <xf numFmtId="0" fontId="3" fillId="0" borderId="10" xfId="0" applyFont="1" applyFill="1" applyBorder="1" applyAlignment="1" applyProtection="1">
      <alignment horizontal="center" vertical="top" wrapText="1" shrinkToFit="1"/>
      <protection locked="0"/>
    </xf>
    <xf numFmtId="0" fontId="3" fillId="0" borderId="11" xfId="0" applyFont="1" applyFill="1" applyBorder="1" applyAlignment="1" applyProtection="1">
      <alignment horizontal="center" vertical="top" wrapText="1" shrinkToFit="1"/>
      <protection locked="0"/>
    </xf>
    <xf numFmtId="0" fontId="3" fillId="0" borderId="12" xfId="0" applyFont="1" applyFill="1" applyBorder="1" applyAlignment="1" applyProtection="1">
      <alignment horizontal="center" vertical="top" wrapText="1" shrinkToFit="1"/>
      <protection locked="0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 applyProtection="1">
      <alignment horizontal="center" vertical="top" wrapText="1" shrinkToFit="1"/>
      <protection locked="0"/>
    </xf>
    <xf numFmtId="0" fontId="6" fillId="0" borderId="11" xfId="0" applyFont="1" applyFill="1" applyBorder="1" applyAlignment="1" applyProtection="1">
      <alignment horizontal="center" vertical="top" wrapText="1" shrinkToFit="1"/>
      <protection locked="0"/>
    </xf>
    <xf numFmtId="0" fontId="6" fillId="0" borderId="12" xfId="0" applyFont="1" applyFill="1" applyBorder="1" applyAlignment="1" applyProtection="1">
      <alignment horizontal="center" vertical="top" wrapText="1" shrinkToFit="1"/>
      <protection locked="0"/>
    </xf>
    <xf numFmtId="0" fontId="6" fillId="0" borderId="1" xfId="0" applyFont="1" applyFill="1" applyBorder="1" applyAlignment="1" applyProtection="1">
      <alignment horizontal="center" vertical="top" wrapText="1" shrinkToFit="1"/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D9FFB3"/>
      <color rgb="FFFEE8FB"/>
      <color rgb="FFCFF5FD"/>
      <color rgb="FFD6FEEE"/>
      <color rgb="FFFDDBF8"/>
      <color rgb="FF99FF33"/>
      <color rgb="FFFDE0C3"/>
      <color rgb="FFC5E5CD"/>
      <color rgb="FFF0F5FE"/>
      <color rgb="FFC5E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F1C2-DC6A-48A1-A042-428F68184D02}">
  <sheetPr>
    <pageSetUpPr fitToPage="1"/>
  </sheetPr>
  <dimension ref="A1:H471"/>
  <sheetViews>
    <sheetView tabSelected="1" view="pageBreakPreview" topLeftCell="A458" zoomScale="90" zoomScaleNormal="100" zoomScaleSheetLayoutView="90" workbookViewId="0">
      <selection activeCell="H472" sqref="H472"/>
    </sheetView>
  </sheetViews>
  <sheetFormatPr defaultRowHeight="15.75" x14ac:dyDescent="0.25"/>
  <cols>
    <col min="1" max="1" width="15.85546875" style="4" customWidth="1"/>
    <col min="2" max="2" width="21.28515625" style="4" customWidth="1"/>
    <col min="3" max="3" width="28.42578125" style="4" customWidth="1"/>
    <col min="4" max="4" width="75" style="4" customWidth="1"/>
    <col min="5" max="5" width="22.85546875" style="4" customWidth="1"/>
    <col min="6" max="6" width="22.42578125" style="4" customWidth="1"/>
    <col min="7" max="7" width="40.28515625" style="4" customWidth="1"/>
    <col min="8" max="8" width="22" style="4" customWidth="1"/>
    <col min="9" max="16384" width="9.140625" style="4"/>
  </cols>
  <sheetData>
    <row r="1" spans="1:8" ht="8.25" customHeight="1" x14ac:dyDescent="0.25">
      <c r="A1" s="41" t="s">
        <v>537</v>
      </c>
      <c r="B1" s="42"/>
      <c r="C1" s="42"/>
      <c r="D1" s="42"/>
      <c r="E1" s="42"/>
      <c r="F1" s="42"/>
      <c r="G1" s="42"/>
      <c r="H1" s="43"/>
    </row>
    <row r="2" spans="1:8" ht="14.25" customHeight="1" x14ac:dyDescent="0.25">
      <c r="A2" s="44"/>
      <c r="B2" s="45"/>
      <c r="C2" s="45"/>
      <c r="D2" s="45"/>
      <c r="E2" s="45"/>
      <c r="F2" s="45"/>
      <c r="G2" s="45"/>
      <c r="H2" s="46"/>
    </row>
    <row r="3" spans="1:8" s="8" customFormat="1" ht="84" customHeight="1" x14ac:dyDescent="0.25">
      <c r="A3" s="5" t="s">
        <v>0</v>
      </c>
      <c r="B3" s="5" t="s">
        <v>1</v>
      </c>
      <c r="C3" s="5" t="s">
        <v>11</v>
      </c>
      <c r="D3" s="5" t="s">
        <v>2</v>
      </c>
      <c r="E3" s="6" t="s">
        <v>312</v>
      </c>
      <c r="F3" s="6" t="s">
        <v>12</v>
      </c>
      <c r="G3" s="7" t="s">
        <v>3</v>
      </c>
      <c r="H3" s="6" t="s">
        <v>4</v>
      </c>
    </row>
    <row r="4" spans="1:8" s="8" customFormat="1" ht="21" customHeight="1" x14ac:dyDescent="0.25">
      <c r="A4" s="9">
        <v>1</v>
      </c>
      <c r="B4" s="9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</row>
    <row r="5" spans="1:8" s="11" customFormat="1" ht="39.75" customHeight="1" x14ac:dyDescent="0.25">
      <c r="A5" s="38">
        <v>1</v>
      </c>
      <c r="B5" s="47" t="s">
        <v>5</v>
      </c>
      <c r="C5" s="22" t="s">
        <v>21</v>
      </c>
      <c r="D5" s="23" t="s">
        <v>84</v>
      </c>
      <c r="E5" s="3">
        <v>0</v>
      </c>
      <c r="F5" s="3">
        <v>0</v>
      </c>
      <c r="G5" s="3" t="s">
        <v>15</v>
      </c>
      <c r="H5" s="3">
        <v>0</v>
      </c>
    </row>
    <row r="6" spans="1:8" s="11" customFormat="1" ht="65.25" customHeight="1" x14ac:dyDescent="0.25">
      <c r="A6" s="39"/>
      <c r="B6" s="48"/>
      <c r="C6" s="24" t="s">
        <v>13</v>
      </c>
      <c r="D6" s="25" t="s">
        <v>85</v>
      </c>
      <c r="E6" s="12">
        <v>0</v>
      </c>
      <c r="F6" s="12">
        <v>0</v>
      </c>
      <c r="G6" s="12" t="s">
        <v>15</v>
      </c>
      <c r="H6" s="12">
        <v>0</v>
      </c>
    </row>
    <row r="7" spans="1:8" s="11" customFormat="1" ht="40.5" customHeight="1" x14ac:dyDescent="0.25">
      <c r="A7" s="39"/>
      <c r="B7" s="48"/>
      <c r="C7" s="24" t="s">
        <v>40</v>
      </c>
      <c r="D7" s="25" t="s">
        <v>538</v>
      </c>
      <c r="E7" s="12">
        <v>0</v>
      </c>
      <c r="F7" s="12">
        <v>0</v>
      </c>
      <c r="G7" s="12" t="s">
        <v>15</v>
      </c>
      <c r="H7" s="12">
        <v>0</v>
      </c>
    </row>
    <row r="8" spans="1:8" s="11" customFormat="1" ht="39.75" customHeight="1" x14ac:dyDescent="0.25">
      <c r="A8" s="39"/>
      <c r="B8" s="48"/>
      <c r="C8" s="24" t="s">
        <v>45</v>
      </c>
      <c r="D8" s="25" t="s">
        <v>539</v>
      </c>
      <c r="E8" s="12">
        <v>0</v>
      </c>
      <c r="F8" s="12">
        <v>0</v>
      </c>
      <c r="G8" s="12" t="s">
        <v>15</v>
      </c>
      <c r="H8" s="12">
        <v>0</v>
      </c>
    </row>
    <row r="9" spans="1:8" s="11" customFormat="1" ht="34.5" customHeight="1" x14ac:dyDescent="0.25">
      <c r="A9" s="39"/>
      <c r="B9" s="48"/>
      <c r="C9" s="22" t="s">
        <v>14</v>
      </c>
      <c r="D9" s="23" t="s">
        <v>86</v>
      </c>
      <c r="E9" s="3">
        <v>2149.66</v>
      </c>
      <c r="F9" s="3">
        <v>2149.66</v>
      </c>
      <c r="G9" s="3" t="s">
        <v>18</v>
      </c>
      <c r="H9" s="3">
        <v>2149.66</v>
      </c>
    </row>
    <row r="10" spans="1:8" s="11" customFormat="1" ht="33.75" customHeight="1" x14ac:dyDescent="0.25">
      <c r="A10" s="39"/>
      <c r="B10" s="48"/>
      <c r="C10" s="24" t="s">
        <v>13</v>
      </c>
      <c r="D10" s="25" t="s">
        <v>87</v>
      </c>
      <c r="E10" s="12">
        <v>2149.66</v>
      </c>
      <c r="F10" s="12">
        <v>2149.66</v>
      </c>
      <c r="G10" s="12" t="s">
        <v>18</v>
      </c>
      <c r="H10" s="12">
        <v>2149.66</v>
      </c>
    </row>
    <row r="11" spans="1:8" s="11" customFormat="1" ht="40.5" customHeight="1" x14ac:dyDescent="0.25">
      <c r="A11" s="39"/>
      <c r="B11" s="48"/>
      <c r="C11" s="24" t="s">
        <v>40</v>
      </c>
      <c r="D11" s="25" t="s">
        <v>88</v>
      </c>
      <c r="E11" s="12">
        <v>1220</v>
      </c>
      <c r="F11" s="12">
        <v>1220</v>
      </c>
      <c r="G11" s="12" t="s">
        <v>18</v>
      </c>
      <c r="H11" s="12">
        <v>1220</v>
      </c>
    </row>
    <row r="12" spans="1:8" s="11" customFormat="1" ht="37.5" customHeight="1" x14ac:dyDescent="0.25">
      <c r="A12" s="39"/>
      <c r="B12" s="48"/>
      <c r="C12" s="24" t="s">
        <v>45</v>
      </c>
      <c r="D12" s="25" t="s">
        <v>89</v>
      </c>
      <c r="E12" s="12">
        <v>689.66</v>
      </c>
      <c r="F12" s="12">
        <v>689.66</v>
      </c>
      <c r="G12" s="12" t="s">
        <v>18</v>
      </c>
      <c r="H12" s="12">
        <v>689.66</v>
      </c>
    </row>
    <row r="13" spans="1:8" s="11" customFormat="1" ht="30" customHeight="1" x14ac:dyDescent="0.25">
      <c r="A13" s="39"/>
      <c r="B13" s="48"/>
      <c r="C13" s="24" t="s">
        <v>56</v>
      </c>
      <c r="D13" s="25" t="s">
        <v>90</v>
      </c>
      <c r="E13" s="12">
        <v>0</v>
      </c>
      <c r="F13" s="12">
        <v>0</v>
      </c>
      <c r="G13" s="12" t="s">
        <v>15</v>
      </c>
      <c r="H13" s="12">
        <v>0</v>
      </c>
    </row>
    <row r="14" spans="1:8" s="11" customFormat="1" ht="42" customHeight="1" x14ac:dyDescent="0.25">
      <c r="A14" s="39"/>
      <c r="B14" s="48"/>
      <c r="C14" s="24" t="s">
        <v>76</v>
      </c>
      <c r="D14" s="25" t="s">
        <v>91</v>
      </c>
      <c r="E14" s="12">
        <v>240</v>
      </c>
      <c r="F14" s="12">
        <v>240</v>
      </c>
      <c r="G14" s="12" t="s">
        <v>18</v>
      </c>
      <c r="H14" s="12">
        <v>240</v>
      </c>
    </row>
    <row r="15" spans="1:8" ht="38.25" customHeight="1" x14ac:dyDescent="0.25">
      <c r="A15" s="39"/>
      <c r="B15" s="48"/>
      <c r="C15" s="24" t="s">
        <v>92</v>
      </c>
      <c r="D15" s="25" t="s">
        <v>93</v>
      </c>
      <c r="E15" s="12">
        <v>0</v>
      </c>
      <c r="F15" s="12">
        <v>0</v>
      </c>
      <c r="G15" s="12" t="s">
        <v>15</v>
      </c>
      <c r="H15" s="12">
        <v>0</v>
      </c>
    </row>
    <row r="16" spans="1:8" ht="19.5" x14ac:dyDescent="0.25">
      <c r="A16" s="40"/>
      <c r="B16" s="49"/>
      <c r="C16" s="1"/>
      <c r="D16" s="20" t="s">
        <v>6</v>
      </c>
      <c r="E16" s="21">
        <v>2149.66</v>
      </c>
      <c r="F16" s="21">
        <v>2149.66</v>
      </c>
      <c r="G16" s="21" t="s">
        <v>18</v>
      </c>
      <c r="H16" s="21">
        <v>2149.66</v>
      </c>
    </row>
    <row r="17" spans="1:8" ht="33" customHeight="1" x14ac:dyDescent="0.25">
      <c r="A17" s="38">
        <v>2</v>
      </c>
      <c r="B17" s="38" t="s">
        <v>319</v>
      </c>
      <c r="C17" s="26" t="s">
        <v>28</v>
      </c>
      <c r="D17" s="27" t="s">
        <v>94</v>
      </c>
      <c r="E17" s="14">
        <f>E18+E21</f>
        <v>11224.980000000001</v>
      </c>
      <c r="F17" s="14">
        <f>F18+F21</f>
        <v>11224.980000000001</v>
      </c>
      <c r="G17" s="14" t="s">
        <v>18</v>
      </c>
      <c r="H17" s="14">
        <f>H18+H21</f>
        <v>11224.980000000001</v>
      </c>
    </row>
    <row r="18" spans="1:8" x14ac:dyDescent="0.25">
      <c r="A18" s="39"/>
      <c r="B18" s="39"/>
      <c r="C18" s="28" t="s">
        <v>16</v>
      </c>
      <c r="D18" s="29" t="s">
        <v>95</v>
      </c>
      <c r="E18" s="15">
        <f>E19+E20</f>
        <v>11115.78</v>
      </c>
      <c r="F18" s="15">
        <f>F19+F20</f>
        <v>11115.78</v>
      </c>
      <c r="G18" s="15" t="s">
        <v>18</v>
      </c>
      <c r="H18" s="15">
        <f>H19+H20</f>
        <v>11115.78</v>
      </c>
    </row>
    <row r="19" spans="1:8" ht="31.5" x14ac:dyDescent="0.25">
      <c r="A19" s="39"/>
      <c r="B19" s="39"/>
      <c r="C19" s="28" t="s">
        <v>29</v>
      </c>
      <c r="D19" s="29" t="s">
        <v>96</v>
      </c>
      <c r="E19" s="15">
        <f>11115.78</f>
        <v>11115.78</v>
      </c>
      <c r="F19" s="15">
        <f>11115.78</f>
        <v>11115.78</v>
      </c>
      <c r="G19" s="15" t="s">
        <v>18</v>
      </c>
      <c r="H19" s="15">
        <f>11115.78</f>
        <v>11115.78</v>
      </c>
    </row>
    <row r="20" spans="1:8" ht="31.5" x14ac:dyDescent="0.25">
      <c r="A20" s="39"/>
      <c r="B20" s="39"/>
      <c r="C20" s="28" t="s">
        <v>23</v>
      </c>
      <c r="D20" s="29" t="s">
        <v>97</v>
      </c>
      <c r="E20" s="15">
        <f>0</f>
        <v>0</v>
      </c>
      <c r="F20" s="15">
        <f>0</f>
        <v>0</v>
      </c>
      <c r="G20" s="15" t="s">
        <v>15</v>
      </c>
      <c r="H20" s="15">
        <f>0</f>
        <v>0</v>
      </c>
    </row>
    <row r="21" spans="1:8" ht="47.25" x14ac:dyDescent="0.25">
      <c r="A21" s="39"/>
      <c r="B21" s="39"/>
      <c r="C21" s="28" t="s">
        <v>33</v>
      </c>
      <c r="D21" s="29" t="s">
        <v>313</v>
      </c>
      <c r="E21" s="15">
        <f>E22</f>
        <v>109.2</v>
      </c>
      <c r="F21" s="15">
        <f>F22</f>
        <v>109.2</v>
      </c>
      <c r="G21" s="15" t="s">
        <v>18</v>
      </c>
      <c r="H21" s="15">
        <f>H22</f>
        <v>109.2</v>
      </c>
    </row>
    <row r="22" spans="1:8" ht="31.5" x14ac:dyDescent="0.25">
      <c r="A22" s="39"/>
      <c r="B22" s="39"/>
      <c r="C22" s="28" t="s">
        <v>98</v>
      </c>
      <c r="D22" s="29" t="s">
        <v>99</v>
      </c>
      <c r="E22" s="15">
        <f>109.2</f>
        <v>109.2</v>
      </c>
      <c r="F22" s="15">
        <f>109.2</f>
        <v>109.2</v>
      </c>
      <c r="G22" s="15" t="s">
        <v>18</v>
      </c>
      <c r="H22" s="15">
        <f>109.2</f>
        <v>109.2</v>
      </c>
    </row>
    <row r="23" spans="1:8" ht="21.75" customHeight="1" x14ac:dyDescent="0.25">
      <c r="A23" s="39"/>
      <c r="B23" s="39"/>
      <c r="C23" s="26" t="s">
        <v>17</v>
      </c>
      <c r="D23" s="27" t="s">
        <v>100</v>
      </c>
      <c r="E23" s="14">
        <f>E24+E29</f>
        <v>33672.699999999997</v>
      </c>
      <c r="F23" s="14">
        <f>F24+F29</f>
        <v>33672.699999999997</v>
      </c>
      <c r="G23" s="14" t="s">
        <v>18</v>
      </c>
      <c r="H23" s="14">
        <f>H24+H29</f>
        <v>33672.699999999997</v>
      </c>
    </row>
    <row r="24" spans="1:8" ht="31.5" x14ac:dyDescent="0.25">
      <c r="A24" s="39"/>
      <c r="B24" s="39"/>
      <c r="C24" s="28" t="s">
        <v>16</v>
      </c>
      <c r="D24" s="29" t="s">
        <v>101</v>
      </c>
      <c r="E24" s="15">
        <f>E25+E26+E27+E28</f>
        <v>33310.71</v>
      </c>
      <c r="F24" s="15">
        <f>F25+F26+F27+F28</f>
        <v>33310.71</v>
      </c>
      <c r="G24" s="15" t="s">
        <v>18</v>
      </c>
      <c r="H24" s="15">
        <f>H25+H26+H27+H28</f>
        <v>33310.71</v>
      </c>
    </row>
    <row r="25" spans="1:8" ht="31.5" x14ac:dyDescent="0.25">
      <c r="A25" s="39"/>
      <c r="B25" s="39"/>
      <c r="C25" s="28" t="s">
        <v>29</v>
      </c>
      <c r="D25" s="29" t="s">
        <v>102</v>
      </c>
      <c r="E25" s="15">
        <f>32475.53</f>
        <v>32475.53</v>
      </c>
      <c r="F25" s="15">
        <f>32475.53</f>
        <v>32475.53</v>
      </c>
      <c r="G25" s="15" t="s">
        <v>18</v>
      </c>
      <c r="H25" s="15">
        <f>32475.53</f>
        <v>32475.53</v>
      </c>
    </row>
    <row r="26" spans="1:8" ht="47.25" x14ac:dyDescent="0.25">
      <c r="A26" s="39"/>
      <c r="B26" s="39"/>
      <c r="C26" s="28" t="s">
        <v>30</v>
      </c>
      <c r="D26" s="29" t="s">
        <v>103</v>
      </c>
      <c r="E26" s="15">
        <f>216.65</f>
        <v>216.65</v>
      </c>
      <c r="F26" s="15">
        <f>216.65</f>
        <v>216.65</v>
      </c>
      <c r="G26" s="15" t="s">
        <v>18</v>
      </c>
      <c r="H26" s="15">
        <f>216.65</f>
        <v>216.65</v>
      </c>
    </row>
    <row r="27" spans="1:8" ht="47.25" x14ac:dyDescent="0.25">
      <c r="A27" s="39"/>
      <c r="B27" s="39"/>
      <c r="C27" s="28" t="s">
        <v>22</v>
      </c>
      <c r="D27" s="29" t="s">
        <v>104</v>
      </c>
      <c r="E27" s="15">
        <f>116.9+280.91+220.72</f>
        <v>618.53000000000009</v>
      </c>
      <c r="F27" s="15">
        <f>116.9+280.91+220.72</f>
        <v>618.53000000000009</v>
      </c>
      <c r="G27" s="15" t="s">
        <v>18</v>
      </c>
      <c r="H27" s="15">
        <f>116.9+280.91+220.72</f>
        <v>618.53000000000009</v>
      </c>
    </row>
    <row r="28" spans="1:8" ht="31.5" x14ac:dyDescent="0.25">
      <c r="A28" s="39"/>
      <c r="B28" s="39"/>
      <c r="C28" s="28" t="s">
        <v>23</v>
      </c>
      <c r="D28" s="29" t="s">
        <v>97</v>
      </c>
      <c r="E28" s="15">
        <f>0</f>
        <v>0</v>
      </c>
      <c r="F28" s="15">
        <f>0</f>
        <v>0</v>
      </c>
      <c r="G28" s="15" t="s">
        <v>15</v>
      </c>
      <c r="H28" s="15">
        <f>0</f>
        <v>0</v>
      </c>
    </row>
    <row r="29" spans="1:8" ht="47.25" x14ac:dyDescent="0.25">
      <c r="A29" s="39"/>
      <c r="B29" s="39"/>
      <c r="C29" s="28" t="s">
        <v>13</v>
      </c>
      <c r="D29" s="29" t="s">
        <v>314</v>
      </c>
      <c r="E29" s="15">
        <f>E30+E31</f>
        <v>361.99</v>
      </c>
      <c r="F29" s="15">
        <f>F30+F31</f>
        <v>361.99</v>
      </c>
      <c r="G29" s="15" t="s">
        <v>18</v>
      </c>
      <c r="H29" s="15">
        <f>H30+H31</f>
        <v>361.99</v>
      </c>
    </row>
    <row r="30" spans="1:8" ht="31.5" x14ac:dyDescent="0.25">
      <c r="A30" s="39"/>
      <c r="B30" s="39"/>
      <c r="C30" s="28" t="s">
        <v>40</v>
      </c>
      <c r="D30" s="29" t="s">
        <v>540</v>
      </c>
      <c r="E30" s="15">
        <f>0</f>
        <v>0</v>
      </c>
      <c r="F30" s="15">
        <f>0</f>
        <v>0</v>
      </c>
      <c r="G30" s="15" t="s">
        <v>15</v>
      </c>
      <c r="H30" s="15">
        <f>0</f>
        <v>0</v>
      </c>
    </row>
    <row r="31" spans="1:8" ht="31.5" x14ac:dyDescent="0.25">
      <c r="A31" s="39"/>
      <c r="B31" s="39"/>
      <c r="C31" s="28" t="s">
        <v>56</v>
      </c>
      <c r="D31" s="29" t="s">
        <v>105</v>
      </c>
      <c r="E31" s="15">
        <f>361.99</f>
        <v>361.99</v>
      </c>
      <c r="F31" s="15">
        <f>361.99</f>
        <v>361.99</v>
      </c>
      <c r="G31" s="15" t="s">
        <v>18</v>
      </c>
      <c r="H31" s="15">
        <f>361.99</f>
        <v>361.99</v>
      </c>
    </row>
    <row r="32" spans="1:8" ht="31.5" x14ac:dyDescent="0.25">
      <c r="A32" s="39"/>
      <c r="B32" s="39"/>
      <c r="C32" s="26" t="s">
        <v>44</v>
      </c>
      <c r="D32" s="27" t="s">
        <v>106</v>
      </c>
      <c r="E32" s="14">
        <f>E33+E36+E40</f>
        <v>138176.28</v>
      </c>
      <c r="F32" s="14">
        <f>F33+F36+F40</f>
        <v>138042.99</v>
      </c>
      <c r="G32" s="14" t="s">
        <v>372</v>
      </c>
      <c r="H32" s="14">
        <f>H33+H36+H40</f>
        <v>138042.99</v>
      </c>
    </row>
    <row r="33" spans="1:8" x14ac:dyDescent="0.25">
      <c r="A33" s="39"/>
      <c r="B33" s="39"/>
      <c r="C33" s="28" t="s">
        <v>36</v>
      </c>
      <c r="D33" s="29" t="s">
        <v>107</v>
      </c>
      <c r="E33" s="15">
        <f>E34+E35</f>
        <v>127419.57</v>
      </c>
      <c r="F33" s="15">
        <f>F34+F35</f>
        <v>127319.81</v>
      </c>
      <c r="G33" s="15" t="s">
        <v>372</v>
      </c>
      <c r="H33" s="15">
        <f>H34+H35</f>
        <v>127319.81</v>
      </c>
    </row>
    <row r="34" spans="1:8" ht="31.5" x14ac:dyDescent="0.25">
      <c r="A34" s="39"/>
      <c r="B34" s="39"/>
      <c r="C34" s="28" t="s">
        <v>37</v>
      </c>
      <c r="D34" s="29" t="s">
        <v>108</v>
      </c>
      <c r="E34" s="15">
        <f>79056.27</f>
        <v>79056.27</v>
      </c>
      <c r="F34" s="15">
        <f>79056.26</f>
        <v>79056.259999999995</v>
      </c>
      <c r="G34" s="15" t="s">
        <v>18</v>
      </c>
      <c r="H34" s="15">
        <f>79056.26</f>
        <v>79056.259999999995</v>
      </c>
    </row>
    <row r="35" spans="1:8" x14ac:dyDescent="0.25">
      <c r="A35" s="39"/>
      <c r="B35" s="39"/>
      <c r="C35" s="28" t="s">
        <v>109</v>
      </c>
      <c r="D35" s="29" t="s">
        <v>110</v>
      </c>
      <c r="E35" s="15">
        <f>48363.3</f>
        <v>48363.3</v>
      </c>
      <c r="F35" s="15">
        <f>48263.55</f>
        <v>48263.55</v>
      </c>
      <c r="G35" s="15" t="s">
        <v>541</v>
      </c>
      <c r="H35" s="15">
        <f>48263.55</f>
        <v>48263.55</v>
      </c>
    </row>
    <row r="36" spans="1:8" ht="63" x14ac:dyDescent="0.25">
      <c r="A36" s="39"/>
      <c r="B36" s="39"/>
      <c r="C36" s="28" t="s">
        <v>38</v>
      </c>
      <c r="D36" s="29" t="s">
        <v>315</v>
      </c>
      <c r="E36" s="15">
        <f>E37+E38+E39</f>
        <v>841.7</v>
      </c>
      <c r="F36" s="15">
        <f>F37+F38+F39</f>
        <v>841.7</v>
      </c>
      <c r="G36" s="15" t="s">
        <v>18</v>
      </c>
      <c r="H36" s="15">
        <f>H37+H38+H39</f>
        <v>841.7</v>
      </c>
    </row>
    <row r="37" spans="1:8" ht="31.5" x14ac:dyDescent="0.25">
      <c r="A37" s="39"/>
      <c r="B37" s="39"/>
      <c r="C37" s="28" t="s">
        <v>208</v>
      </c>
      <c r="D37" s="29" t="s">
        <v>542</v>
      </c>
      <c r="E37" s="15">
        <f>0</f>
        <v>0</v>
      </c>
      <c r="F37" s="15">
        <f>0</f>
        <v>0</v>
      </c>
      <c r="G37" s="15" t="s">
        <v>15</v>
      </c>
      <c r="H37" s="15">
        <f>0</f>
        <v>0</v>
      </c>
    </row>
    <row r="38" spans="1:8" ht="31.5" x14ac:dyDescent="0.25">
      <c r="A38" s="39"/>
      <c r="B38" s="39"/>
      <c r="C38" s="28" t="s">
        <v>209</v>
      </c>
      <c r="D38" s="29" t="s">
        <v>543</v>
      </c>
      <c r="E38" s="15">
        <f>0</f>
        <v>0</v>
      </c>
      <c r="F38" s="15">
        <f>0</f>
        <v>0</v>
      </c>
      <c r="G38" s="15" t="s">
        <v>15</v>
      </c>
      <c r="H38" s="15">
        <f>0</f>
        <v>0</v>
      </c>
    </row>
    <row r="39" spans="1:8" ht="31.5" x14ac:dyDescent="0.25">
      <c r="A39" s="39"/>
      <c r="B39" s="39"/>
      <c r="C39" s="28" t="s">
        <v>111</v>
      </c>
      <c r="D39" s="29" t="s">
        <v>112</v>
      </c>
      <c r="E39" s="15">
        <f>841.7</f>
        <v>841.7</v>
      </c>
      <c r="F39" s="15">
        <f>841.7</f>
        <v>841.7</v>
      </c>
      <c r="G39" s="15" t="s">
        <v>18</v>
      </c>
      <c r="H39" s="15">
        <f>841.7</f>
        <v>841.7</v>
      </c>
    </row>
    <row r="40" spans="1:8" ht="31.5" x14ac:dyDescent="0.25">
      <c r="A40" s="39"/>
      <c r="B40" s="39"/>
      <c r="C40" s="28" t="s">
        <v>51</v>
      </c>
      <c r="D40" s="29" t="s">
        <v>113</v>
      </c>
      <c r="E40" s="15">
        <f>E41+E42</f>
        <v>9915.01</v>
      </c>
      <c r="F40" s="15">
        <f>F41+F42</f>
        <v>9881.48</v>
      </c>
      <c r="G40" s="15" t="s">
        <v>361</v>
      </c>
      <c r="H40" s="15">
        <f>H41+H42</f>
        <v>9881.48</v>
      </c>
    </row>
    <row r="41" spans="1:8" ht="31.5" x14ac:dyDescent="0.25">
      <c r="A41" s="39"/>
      <c r="B41" s="39"/>
      <c r="C41" s="28" t="s">
        <v>52</v>
      </c>
      <c r="D41" s="29" t="s">
        <v>97</v>
      </c>
      <c r="E41" s="15">
        <f>8018</f>
        <v>8018</v>
      </c>
      <c r="F41" s="15">
        <f>8018</f>
        <v>8018</v>
      </c>
      <c r="G41" s="15" t="s">
        <v>18</v>
      </c>
      <c r="H41" s="15">
        <f>8018</f>
        <v>8018</v>
      </c>
    </row>
    <row r="42" spans="1:8" ht="47.25" x14ac:dyDescent="0.25">
      <c r="A42" s="39"/>
      <c r="B42" s="39"/>
      <c r="C42" s="28" t="s">
        <v>53</v>
      </c>
      <c r="D42" s="29" t="s">
        <v>316</v>
      </c>
      <c r="E42" s="15">
        <f>1897.01</f>
        <v>1897.01</v>
      </c>
      <c r="F42" s="15">
        <f>1863.48</f>
        <v>1863.48</v>
      </c>
      <c r="G42" s="15" t="s">
        <v>544</v>
      </c>
      <c r="H42" s="15">
        <f>1863.48</f>
        <v>1863.48</v>
      </c>
    </row>
    <row r="43" spans="1:8" ht="31.5" x14ac:dyDescent="0.25">
      <c r="A43" s="39"/>
      <c r="B43" s="39"/>
      <c r="C43" s="26" t="s">
        <v>14</v>
      </c>
      <c r="D43" s="27" t="s">
        <v>114</v>
      </c>
      <c r="E43" s="14">
        <f>E44</f>
        <v>0</v>
      </c>
      <c r="F43" s="14">
        <f>F44</f>
        <v>0</v>
      </c>
      <c r="G43" s="14" t="s">
        <v>15</v>
      </c>
      <c r="H43" s="14">
        <f>H44</f>
        <v>0</v>
      </c>
    </row>
    <row r="44" spans="1:8" x14ac:dyDescent="0.25">
      <c r="A44" s="39"/>
      <c r="B44" s="39"/>
      <c r="C44" s="28" t="s">
        <v>16</v>
      </c>
      <c r="D44" s="29" t="s">
        <v>115</v>
      </c>
      <c r="E44" s="15">
        <f>0</f>
        <v>0</v>
      </c>
      <c r="F44" s="15">
        <f>0</f>
        <v>0</v>
      </c>
      <c r="G44" s="15" t="s">
        <v>15</v>
      </c>
      <c r="H44" s="15">
        <f>0</f>
        <v>0</v>
      </c>
    </row>
    <row r="45" spans="1:8" ht="26.25" customHeight="1" x14ac:dyDescent="0.25">
      <c r="A45" s="39"/>
      <c r="B45" s="39"/>
      <c r="C45" s="26" t="s">
        <v>55</v>
      </c>
      <c r="D45" s="27" t="s">
        <v>116</v>
      </c>
      <c r="E45" s="14">
        <f>E46+E48+E49+E51+E54</f>
        <v>103088.55000000002</v>
      </c>
      <c r="F45" s="14">
        <f>F46+F48+F49+F51+F54</f>
        <v>102182.79000000001</v>
      </c>
      <c r="G45" s="14" t="s">
        <v>394</v>
      </c>
      <c r="H45" s="14">
        <f>H46+H48+H49+H51+H54</f>
        <v>102182.79000000001</v>
      </c>
    </row>
    <row r="46" spans="1:8" ht="31.5" x14ac:dyDescent="0.25">
      <c r="A46" s="39"/>
      <c r="B46" s="39"/>
      <c r="C46" s="28" t="s">
        <v>16</v>
      </c>
      <c r="D46" s="29" t="s">
        <v>117</v>
      </c>
      <c r="E46" s="15">
        <f>E47</f>
        <v>94635.24</v>
      </c>
      <c r="F46" s="15">
        <f>F47</f>
        <v>94635.24</v>
      </c>
      <c r="G46" s="15" t="s">
        <v>18</v>
      </c>
      <c r="H46" s="15">
        <f>H47</f>
        <v>94635.24</v>
      </c>
    </row>
    <row r="47" spans="1:8" ht="31.5" x14ac:dyDescent="0.25">
      <c r="A47" s="39"/>
      <c r="B47" s="39"/>
      <c r="C47" s="28" t="s">
        <v>29</v>
      </c>
      <c r="D47" s="29" t="s">
        <v>118</v>
      </c>
      <c r="E47" s="15">
        <f>94635.24</f>
        <v>94635.24</v>
      </c>
      <c r="F47" s="15">
        <f>94635.24</f>
        <v>94635.24</v>
      </c>
      <c r="G47" s="15" t="s">
        <v>18</v>
      </c>
      <c r="H47" s="15">
        <f>94635.24</f>
        <v>94635.24</v>
      </c>
    </row>
    <row r="48" spans="1:8" ht="31.5" x14ac:dyDescent="0.25">
      <c r="A48" s="39"/>
      <c r="B48" s="39"/>
      <c r="C48" s="28" t="s">
        <v>33</v>
      </c>
      <c r="D48" s="29" t="s">
        <v>545</v>
      </c>
      <c r="E48" s="15">
        <f>0</f>
        <v>0</v>
      </c>
      <c r="F48" s="15">
        <f>0</f>
        <v>0</v>
      </c>
      <c r="G48" s="15" t="s">
        <v>15</v>
      </c>
      <c r="H48" s="15">
        <f>0</f>
        <v>0</v>
      </c>
    </row>
    <row r="49" spans="1:8" x14ac:dyDescent="0.25">
      <c r="A49" s="39"/>
      <c r="B49" s="39"/>
      <c r="C49" s="28" t="s">
        <v>36</v>
      </c>
      <c r="D49" s="29" t="s">
        <v>119</v>
      </c>
      <c r="E49" s="15">
        <f>E50</f>
        <v>343.6</v>
      </c>
      <c r="F49" s="15">
        <f>F50</f>
        <v>343.6</v>
      </c>
      <c r="G49" s="15" t="s">
        <v>18</v>
      </c>
      <c r="H49" s="15">
        <f>H50</f>
        <v>343.6</v>
      </c>
    </row>
    <row r="50" spans="1:8" ht="31.5" x14ac:dyDescent="0.25">
      <c r="A50" s="39"/>
      <c r="B50" s="39"/>
      <c r="C50" s="28" t="s">
        <v>37</v>
      </c>
      <c r="D50" s="29" t="s">
        <v>120</v>
      </c>
      <c r="E50" s="15">
        <f>343.6</f>
        <v>343.6</v>
      </c>
      <c r="F50" s="15">
        <f>343.6</f>
        <v>343.6</v>
      </c>
      <c r="G50" s="15" t="s">
        <v>18</v>
      </c>
      <c r="H50" s="15">
        <f>343.6</f>
        <v>343.6</v>
      </c>
    </row>
    <row r="51" spans="1:8" ht="31.5" x14ac:dyDescent="0.25">
      <c r="A51" s="39"/>
      <c r="B51" s="39"/>
      <c r="C51" s="28" t="s">
        <v>38</v>
      </c>
      <c r="D51" s="29" t="s">
        <v>317</v>
      </c>
      <c r="E51" s="15">
        <f>E52+E53</f>
        <v>8109.71</v>
      </c>
      <c r="F51" s="15">
        <f>F52+F53</f>
        <v>7203.95</v>
      </c>
      <c r="G51" s="15" t="s">
        <v>546</v>
      </c>
      <c r="H51" s="15">
        <f>H52+H53</f>
        <v>7203.95</v>
      </c>
    </row>
    <row r="52" spans="1:8" ht="63" x14ac:dyDescent="0.25">
      <c r="A52" s="39"/>
      <c r="B52" s="39"/>
      <c r="C52" s="28" t="s">
        <v>207</v>
      </c>
      <c r="D52" s="29" t="s">
        <v>318</v>
      </c>
      <c r="E52" s="15">
        <f>4854.71</f>
        <v>4854.71</v>
      </c>
      <c r="F52" s="15">
        <f>3948.95</f>
        <v>3948.95</v>
      </c>
      <c r="G52" s="15" t="s">
        <v>363</v>
      </c>
      <c r="H52" s="15">
        <f>3948.95</f>
        <v>3948.95</v>
      </c>
    </row>
    <row r="53" spans="1:8" ht="31.5" x14ac:dyDescent="0.25">
      <c r="A53" s="39"/>
      <c r="B53" s="39"/>
      <c r="C53" s="28" t="s">
        <v>47</v>
      </c>
      <c r="D53" s="29" t="s">
        <v>547</v>
      </c>
      <c r="E53" s="15">
        <f>3255</f>
        <v>3255</v>
      </c>
      <c r="F53" s="15">
        <f>3255</f>
        <v>3255</v>
      </c>
      <c r="G53" s="15" t="s">
        <v>18</v>
      </c>
      <c r="H53" s="15">
        <f>3255</f>
        <v>3255</v>
      </c>
    </row>
    <row r="54" spans="1:8" x14ac:dyDescent="0.25">
      <c r="A54" s="39"/>
      <c r="B54" s="39"/>
      <c r="C54" s="28" t="s">
        <v>121</v>
      </c>
      <c r="D54" s="29" t="s">
        <v>122</v>
      </c>
      <c r="E54" s="15">
        <f>0</f>
        <v>0</v>
      </c>
      <c r="F54" s="15">
        <f>0</f>
        <v>0</v>
      </c>
      <c r="G54" s="15" t="s">
        <v>15</v>
      </c>
      <c r="H54" s="15">
        <f>0</f>
        <v>0</v>
      </c>
    </row>
    <row r="55" spans="1:8" ht="32.25" customHeight="1" x14ac:dyDescent="0.25">
      <c r="A55" s="39"/>
      <c r="B55" s="39"/>
      <c r="C55" s="26" t="s">
        <v>123</v>
      </c>
      <c r="D55" s="27" t="s">
        <v>42</v>
      </c>
      <c r="E55" s="14">
        <f>E56</f>
        <v>18633.240000000002</v>
      </c>
      <c r="F55" s="14">
        <f>F56</f>
        <v>17608.89</v>
      </c>
      <c r="G55" s="14" t="s">
        <v>548</v>
      </c>
      <c r="H55" s="14">
        <f>H56</f>
        <v>17608.89</v>
      </c>
    </row>
    <row r="56" spans="1:8" ht="31.5" x14ac:dyDescent="0.25">
      <c r="A56" s="39"/>
      <c r="B56" s="39"/>
      <c r="C56" s="28" t="s">
        <v>16</v>
      </c>
      <c r="D56" s="29" t="s">
        <v>43</v>
      </c>
      <c r="E56" s="15">
        <f>E57</f>
        <v>18633.240000000002</v>
      </c>
      <c r="F56" s="15">
        <f>F57</f>
        <v>17608.89</v>
      </c>
      <c r="G56" s="15" t="s">
        <v>548</v>
      </c>
      <c r="H56" s="15">
        <f>H57</f>
        <v>17608.89</v>
      </c>
    </row>
    <row r="57" spans="1:8" ht="28.5" customHeight="1" x14ac:dyDescent="0.25">
      <c r="A57" s="39"/>
      <c r="B57" s="39"/>
      <c r="C57" s="28" t="s">
        <v>29</v>
      </c>
      <c r="D57" s="29" t="s">
        <v>124</v>
      </c>
      <c r="E57" s="15">
        <f>18633.24</f>
        <v>18633.240000000002</v>
      </c>
      <c r="F57" s="15">
        <f>17608.89</f>
        <v>17608.89</v>
      </c>
      <c r="G57" s="15" t="s">
        <v>548</v>
      </c>
      <c r="H57" s="15">
        <f>17608.89</f>
        <v>17608.89</v>
      </c>
    </row>
    <row r="58" spans="1:8" ht="22.5" customHeight="1" x14ac:dyDescent="0.25">
      <c r="A58" s="40"/>
      <c r="B58" s="40"/>
      <c r="C58" s="16"/>
      <c r="D58" s="20" t="s">
        <v>6</v>
      </c>
      <c r="E58" s="21">
        <f>E17+E23+E32+E43+E45+E55</f>
        <v>304795.75</v>
      </c>
      <c r="F58" s="21">
        <f>F17+F23+F32+F43+F45+F55</f>
        <v>302732.34999999998</v>
      </c>
      <c r="G58" s="21" t="s">
        <v>549</v>
      </c>
      <c r="H58" s="21">
        <f>H17+H23+H32+H43+H45+H55</f>
        <v>302732.34999999998</v>
      </c>
    </row>
    <row r="59" spans="1:8" ht="18" customHeight="1" x14ac:dyDescent="0.25">
      <c r="A59" s="38">
        <v>3</v>
      </c>
      <c r="B59" s="47" t="s">
        <v>320</v>
      </c>
      <c r="C59" s="22" t="s">
        <v>21</v>
      </c>
      <c r="D59" s="23" t="s">
        <v>272</v>
      </c>
      <c r="E59" s="3">
        <f>E60+E76+E81+E83+E86+E87+E89</f>
        <v>2314590.5830000006</v>
      </c>
      <c r="F59" s="3">
        <f>F60+F76+F81+F83+F86+F87+F89</f>
        <v>2274746.5451800004</v>
      </c>
      <c r="G59" s="3" t="s">
        <v>550</v>
      </c>
      <c r="H59" s="3">
        <f>H60+H76+H81+H83+H86+H87+H89</f>
        <v>2274746.5451800004</v>
      </c>
    </row>
    <row r="60" spans="1:8" x14ac:dyDescent="0.25">
      <c r="A60" s="39"/>
      <c r="B60" s="48"/>
      <c r="C60" s="24" t="s">
        <v>16</v>
      </c>
      <c r="D60" s="25" t="s">
        <v>273</v>
      </c>
      <c r="E60" s="12">
        <f>E61+E62+E63+E64+E65+E66+E67+E68+E69+E70+E71+E72+E73+E74+E75</f>
        <v>2159603.2582800002</v>
      </c>
      <c r="F60" s="12">
        <f>F61+F62+F63+F64+F65+F66+F67+F68+F69+F70+F71+F72+F73+F74+F75</f>
        <v>2123134.77776</v>
      </c>
      <c r="G60" s="12" t="s">
        <v>550</v>
      </c>
      <c r="H60" s="12">
        <f>H61+H62+H63+H64+H65+H66+H67+H68+H69+H70+H71+H72+H73+H74+H75</f>
        <v>2123134.77776</v>
      </c>
    </row>
    <row r="61" spans="1:8" ht="31.5" x14ac:dyDescent="0.25">
      <c r="A61" s="39"/>
      <c r="B61" s="48"/>
      <c r="C61" s="24" t="s">
        <v>29</v>
      </c>
      <c r="D61" s="25" t="s">
        <v>551</v>
      </c>
      <c r="E61" s="12">
        <f>0</f>
        <v>0</v>
      </c>
      <c r="F61" s="12">
        <f>0</f>
        <v>0</v>
      </c>
      <c r="G61" s="12" t="s">
        <v>15</v>
      </c>
      <c r="H61" s="12">
        <f>0</f>
        <v>0</v>
      </c>
    </row>
    <row r="62" spans="1:8" ht="173.25" x14ac:dyDescent="0.25">
      <c r="A62" s="39"/>
      <c r="B62" s="48"/>
      <c r="C62" s="24" t="s">
        <v>50</v>
      </c>
      <c r="D62" s="25" t="s">
        <v>274</v>
      </c>
      <c r="E62" s="12">
        <f>32160+1638323</f>
        <v>1670483</v>
      </c>
      <c r="F62" s="12">
        <f>32160+1624471.21548</f>
        <v>1656631.21548</v>
      </c>
      <c r="G62" s="12" t="s">
        <v>552</v>
      </c>
      <c r="H62" s="12">
        <f>32160+1624471.21548</f>
        <v>1656631.21548</v>
      </c>
    </row>
    <row r="63" spans="1:8" ht="141.75" x14ac:dyDescent="0.25">
      <c r="A63" s="39"/>
      <c r="B63" s="48"/>
      <c r="C63" s="24" t="s">
        <v>58</v>
      </c>
      <c r="D63" s="25" t="s">
        <v>553</v>
      </c>
      <c r="E63" s="12">
        <f>48274</f>
        <v>48274</v>
      </c>
      <c r="F63" s="12">
        <f>48117</f>
        <v>48117</v>
      </c>
      <c r="G63" s="12" t="s">
        <v>554</v>
      </c>
      <c r="H63" s="12">
        <f>48117</f>
        <v>48117</v>
      </c>
    </row>
    <row r="64" spans="1:8" ht="63" x14ac:dyDescent="0.25">
      <c r="A64" s="39"/>
      <c r="B64" s="48"/>
      <c r="C64" s="24" t="s">
        <v>59</v>
      </c>
      <c r="D64" s="25" t="s">
        <v>275</v>
      </c>
      <c r="E64" s="12">
        <f>28599</f>
        <v>28599</v>
      </c>
      <c r="F64" s="12">
        <f>27433.5135</f>
        <v>27433.513500000001</v>
      </c>
      <c r="G64" s="12" t="s">
        <v>555</v>
      </c>
      <c r="H64" s="12">
        <f>27433.5135</f>
        <v>27433.513500000001</v>
      </c>
    </row>
    <row r="65" spans="1:8" ht="47.25" x14ac:dyDescent="0.25">
      <c r="A65" s="39"/>
      <c r="B65" s="48"/>
      <c r="C65" s="24" t="s">
        <v>276</v>
      </c>
      <c r="D65" s="25" t="s">
        <v>322</v>
      </c>
      <c r="E65" s="12">
        <f>4050</f>
        <v>4050</v>
      </c>
      <c r="F65" s="12">
        <f>3012.5</f>
        <v>3012.5</v>
      </c>
      <c r="G65" s="12" t="s">
        <v>556</v>
      </c>
      <c r="H65" s="12">
        <f>3012.5</f>
        <v>3012.5</v>
      </c>
    </row>
    <row r="66" spans="1:8" ht="63" x14ac:dyDescent="0.25">
      <c r="A66" s="39"/>
      <c r="B66" s="48"/>
      <c r="C66" s="24" t="s">
        <v>494</v>
      </c>
      <c r="D66" s="25" t="s">
        <v>557</v>
      </c>
      <c r="E66" s="12">
        <f>260.4</f>
        <v>260.39999999999998</v>
      </c>
      <c r="F66" s="12">
        <f>260.4</f>
        <v>260.39999999999998</v>
      </c>
      <c r="G66" s="12" t="s">
        <v>18</v>
      </c>
      <c r="H66" s="12">
        <f>260.4</f>
        <v>260.39999999999998</v>
      </c>
    </row>
    <row r="67" spans="1:8" ht="31.5" x14ac:dyDescent="0.25">
      <c r="A67" s="39"/>
      <c r="B67" s="48"/>
      <c r="C67" s="24" t="s">
        <v>31</v>
      </c>
      <c r="D67" s="25" t="s">
        <v>281</v>
      </c>
      <c r="E67" s="12">
        <f>0</f>
        <v>0</v>
      </c>
      <c r="F67" s="12">
        <f>0</f>
        <v>0</v>
      </c>
      <c r="G67" s="12" t="s">
        <v>15</v>
      </c>
      <c r="H67" s="12">
        <f>0</f>
        <v>0</v>
      </c>
    </row>
    <row r="68" spans="1:8" ht="31.5" x14ac:dyDescent="0.25">
      <c r="A68" s="39"/>
      <c r="B68" s="48"/>
      <c r="C68" s="24" t="s">
        <v>32</v>
      </c>
      <c r="D68" s="25" t="s">
        <v>282</v>
      </c>
      <c r="E68" s="12">
        <f>0</f>
        <v>0</v>
      </c>
      <c r="F68" s="12">
        <f>0</f>
        <v>0</v>
      </c>
      <c r="G68" s="12" t="s">
        <v>15</v>
      </c>
      <c r="H68" s="12">
        <f>0</f>
        <v>0</v>
      </c>
    </row>
    <row r="69" spans="1:8" ht="31.5" x14ac:dyDescent="0.25">
      <c r="A69" s="39"/>
      <c r="B69" s="48"/>
      <c r="C69" s="24" t="s">
        <v>60</v>
      </c>
      <c r="D69" s="25" t="s">
        <v>283</v>
      </c>
      <c r="E69" s="12">
        <f>0</f>
        <v>0</v>
      </c>
      <c r="F69" s="12">
        <f>0</f>
        <v>0</v>
      </c>
      <c r="G69" s="12" t="s">
        <v>15</v>
      </c>
      <c r="H69" s="12">
        <f>0</f>
        <v>0</v>
      </c>
    </row>
    <row r="70" spans="1:8" ht="63" x14ac:dyDescent="0.25">
      <c r="A70" s="39"/>
      <c r="B70" s="48"/>
      <c r="C70" s="24" t="s">
        <v>26</v>
      </c>
      <c r="D70" s="25" t="s">
        <v>277</v>
      </c>
      <c r="E70" s="12">
        <f>314604.45865</f>
        <v>314604.45864999999</v>
      </c>
      <c r="F70" s="12">
        <f>297999.03105</f>
        <v>297999.03104999999</v>
      </c>
      <c r="G70" s="12" t="s">
        <v>558</v>
      </c>
      <c r="H70" s="12">
        <f>297999.03105</f>
        <v>297999.03104999999</v>
      </c>
    </row>
    <row r="71" spans="1:8" ht="31.5" x14ac:dyDescent="0.25">
      <c r="A71" s="39"/>
      <c r="B71" s="48"/>
      <c r="C71" s="24" t="s">
        <v>27</v>
      </c>
      <c r="D71" s="25" t="s">
        <v>323</v>
      </c>
      <c r="E71" s="12">
        <f>13230.23854</f>
        <v>13230.23854</v>
      </c>
      <c r="F71" s="12">
        <f>13226.79712</f>
        <v>13226.797119999999</v>
      </c>
      <c r="G71" s="12" t="s">
        <v>18</v>
      </c>
      <c r="H71" s="12">
        <f>13226.79712</f>
        <v>13226.797119999999</v>
      </c>
    </row>
    <row r="72" spans="1:8" ht="31.5" x14ac:dyDescent="0.25">
      <c r="A72" s="39"/>
      <c r="B72" s="48"/>
      <c r="C72" s="24" t="s">
        <v>324</v>
      </c>
      <c r="D72" s="25" t="s">
        <v>278</v>
      </c>
      <c r="E72" s="12">
        <f>64493.97912</f>
        <v>64493.979120000004</v>
      </c>
      <c r="F72" s="12">
        <f>61254.36864</f>
        <v>61254.368640000001</v>
      </c>
      <c r="G72" s="12" t="s">
        <v>559</v>
      </c>
      <c r="H72" s="12">
        <f>61254.36864</f>
        <v>61254.368640000001</v>
      </c>
    </row>
    <row r="73" spans="1:8" ht="31.5" x14ac:dyDescent="0.25">
      <c r="A73" s="39"/>
      <c r="B73" s="48"/>
      <c r="C73" s="24" t="s">
        <v>325</v>
      </c>
      <c r="D73" s="25" t="s">
        <v>279</v>
      </c>
      <c r="E73" s="12">
        <f>1933.086</f>
        <v>1933.086</v>
      </c>
      <c r="F73" s="12">
        <f>1854.156</f>
        <v>1854.1559999999999</v>
      </c>
      <c r="G73" s="12" t="s">
        <v>555</v>
      </c>
      <c r="H73" s="12">
        <f>1854.156</f>
        <v>1854.1559999999999</v>
      </c>
    </row>
    <row r="74" spans="1:8" x14ac:dyDescent="0.25">
      <c r="A74" s="39"/>
      <c r="B74" s="48"/>
      <c r="C74" s="24" t="s">
        <v>326</v>
      </c>
      <c r="D74" s="25" t="s">
        <v>280</v>
      </c>
      <c r="E74" s="12">
        <f>13675.09597</f>
        <v>13675.09597</v>
      </c>
      <c r="F74" s="12">
        <f>13345.79597</f>
        <v>13345.795969999999</v>
      </c>
      <c r="G74" s="12" t="s">
        <v>560</v>
      </c>
      <c r="H74" s="12">
        <f>13345.79597</f>
        <v>13345.795969999999</v>
      </c>
    </row>
    <row r="75" spans="1:8" ht="31.5" x14ac:dyDescent="0.25">
      <c r="A75" s="39"/>
      <c r="B75" s="48"/>
      <c r="C75" s="24" t="s">
        <v>561</v>
      </c>
      <c r="D75" s="25" t="s">
        <v>562</v>
      </c>
      <c r="E75" s="12">
        <f>0</f>
        <v>0</v>
      </c>
      <c r="F75" s="12">
        <f>0</f>
        <v>0</v>
      </c>
      <c r="G75" s="12" t="s">
        <v>15</v>
      </c>
      <c r="H75" s="12">
        <f>0</f>
        <v>0</v>
      </c>
    </row>
    <row r="76" spans="1:8" ht="63" x14ac:dyDescent="0.25">
      <c r="A76" s="39"/>
      <c r="B76" s="48"/>
      <c r="C76" s="24" t="s">
        <v>13</v>
      </c>
      <c r="D76" s="25" t="s">
        <v>284</v>
      </c>
      <c r="E76" s="12">
        <f>E77+E78+E79+E80</f>
        <v>93970.401320000004</v>
      </c>
      <c r="F76" s="12">
        <f>F77+F78+F79+F80</f>
        <v>90795.202019999997</v>
      </c>
      <c r="G76" s="12" t="s">
        <v>563</v>
      </c>
      <c r="H76" s="12">
        <f>H77+H78+H79+H80</f>
        <v>90795.202019999997</v>
      </c>
    </row>
    <row r="77" spans="1:8" ht="47.25" x14ac:dyDescent="0.25">
      <c r="A77" s="39"/>
      <c r="B77" s="48"/>
      <c r="C77" s="24" t="s">
        <v>285</v>
      </c>
      <c r="D77" s="25" t="s">
        <v>286</v>
      </c>
      <c r="E77" s="12">
        <f>5899.74013+33038.54474+20059.11645</f>
        <v>58997.401319999997</v>
      </c>
      <c r="F77" s="12">
        <f>5899.5888+33037.69728+20058.60192</f>
        <v>58995.887999999999</v>
      </c>
      <c r="G77" s="12" t="s">
        <v>18</v>
      </c>
      <c r="H77" s="12">
        <f>5899.5888+33037.69728+20058.60192</f>
        <v>58995.887999999999</v>
      </c>
    </row>
    <row r="78" spans="1:8" ht="63" x14ac:dyDescent="0.25">
      <c r="A78" s="39"/>
      <c r="B78" s="48"/>
      <c r="C78" s="24" t="s">
        <v>287</v>
      </c>
      <c r="D78" s="25" t="s">
        <v>288</v>
      </c>
      <c r="E78" s="12">
        <f>6144+26365</f>
        <v>32509</v>
      </c>
      <c r="F78" s="12">
        <f>5702.85152+24472.28848</f>
        <v>30175.14</v>
      </c>
      <c r="G78" s="12" t="s">
        <v>564</v>
      </c>
      <c r="H78" s="12">
        <f>5702.85152+24472.28848</f>
        <v>30175.14</v>
      </c>
    </row>
    <row r="79" spans="1:8" ht="47.25" x14ac:dyDescent="0.25">
      <c r="A79" s="39"/>
      <c r="B79" s="48"/>
      <c r="C79" s="24" t="s">
        <v>289</v>
      </c>
      <c r="D79" s="25" t="s">
        <v>290</v>
      </c>
      <c r="E79" s="12">
        <f>2464</f>
        <v>2464</v>
      </c>
      <c r="F79" s="12">
        <f>1624.17402</f>
        <v>1624.1740199999999</v>
      </c>
      <c r="G79" s="12" t="s">
        <v>364</v>
      </c>
      <c r="H79" s="12">
        <f>1624.17402</f>
        <v>1624.1740199999999</v>
      </c>
    </row>
    <row r="80" spans="1:8" ht="78.75" x14ac:dyDescent="0.25">
      <c r="A80" s="39"/>
      <c r="B80" s="48"/>
      <c r="C80" s="24" t="s">
        <v>565</v>
      </c>
      <c r="D80" s="25" t="s">
        <v>566</v>
      </c>
      <c r="E80" s="12">
        <f>0</f>
        <v>0</v>
      </c>
      <c r="F80" s="12">
        <f>0</f>
        <v>0</v>
      </c>
      <c r="G80" s="12" t="s">
        <v>15</v>
      </c>
      <c r="H80" s="12">
        <f>0</f>
        <v>0</v>
      </c>
    </row>
    <row r="81" spans="1:8" x14ac:dyDescent="0.25">
      <c r="A81" s="39"/>
      <c r="B81" s="48"/>
      <c r="C81" s="24" t="s">
        <v>33</v>
      </c>
      <c r="D81" s="25" t="s">
        <v>291</v>
      </c>
      <c r="E81" s="12">
        <f>E82</f>
        <v>9378.9233999999997</v>
      </c>
      <c r="F81" s="12">
        <f>F82</f>
        <v>9178.5653999999995</v>
      </c>
      <c r="G81" s="12" t="s">
        <v>522</v>
      </c>
      <c r="H81" s="12">
        <f>H82</f>
        <v>9178.5653999999995</v>
      </c>
    </row>
    <row r="82" spans="1:8" ht="31.5" x14ac:dyDescent="0.25">
      <c r="A82" s="39"/>
      <c r="B82" s="48"/>
      <c r="C82" s="24" t="s">
        <v>34</v>
      </c>
      <c r="D82" s="25" t="s">
        <v>292</v>
      </c>
      <c r="E82" s="12">
        <f>9378.9234</f>
        <v>9378.9233999999997</v>
      </c>
      <c r="F82" s="12">
        <f>9178.5654</f>
        <v>9178.5653999999995</v>
      </c>
      <c r="G82" s="12" t="s">
        <v>522</v>
      </c>
      <c r="H82" s="12">
        <f>9178.5654</f>
        <v>9178.5653999999995</v>
      </c>
    </row>
    <row r="83" spans="1:8" ht="63" x14ac:dyDescent="0.25">
      <c r="A83" s="39"/>
      <c r="B83" s="48"/>
      <c r="C83" s="24" t="s">
        <v>36</v>
      </c>
      <c r="D83" s="25" t="s">
        <v>293</v>
      </c>
      <c r="E83" s="12">
        <f>E84+E85</f>
        <v>4914</v>
      </c>
      <c r="F83" s="12">
        <f>F84+F85</f>
        <v>4914</v>
      </c>
      <c r="G83" s="12" t="s">
        <v>18</v>
      </c>
      <c r="H83" s="12">
        <f>H84+H85</f>
        <v>4914</v>
      </c>
    </row>
    <row r="84" spans="1:8" ht="63" x14ac:dyDescent="0.25">
      <c r="A84" s="39"/>
      <c r="B84" s="48"/>
      <c r="C84" s="24" t="s">
        <v>37</v>
      </c>
      <c r="D84" s="25" t="s">
        <v>567</v>
      </c>
      <c r="E84" s="12">
        <f>0</f>
        <v>0</v>
      </c>
      <c r="F84" s="12">
        <f>0</f>
        <v>0</v>
      </c>
      <c r="G84" s="12" t="s">
        <v>15</v>
      </c>
      <c r="H84" s="12">
        <f>0</f>
        <v>0</v>
      </c>
    </row>
    <row r="85" spans="1:8" ht="78.75" x14ac:dyDescent="0.25">
      <c r="A85" s="39"/>
      <c r="B85" s="48"/>
      <c r="C85" s="24" t="s">
        <v>48</v>
      </c>
      <c r="D85" s="25" t="s">
        <v>327</v>
      </c>
      <c r="E85" s="12">
        <f>4914</f>
        <v>4914</v>
      </c>
      <c r="F85" s="12">
        <f>4914</f>
        <v>4914</v>
      </c>
      <c r="G85" s="12" t="s">
        <v>18</v>
      </c>
      <c r="H85" s="12">
        <f>4914</f>
        <v>4914</v>
      </c>
    </row>
    <row r="86" spans="1:8" ht="31.5" x14ac:dyDescent="0.25">
      <c r="A86" s="39"/>
      <c r="B86" s="48"/>
      <c r="C86" s="24" t="s">
        <v>51</v>
      </c>
      <c r="D86" s="25" t="s">
        <v>568</v>
      </c>
      <c r="E86" s="12">
        <f>0</f>
        <v>0</v>
      </c>
      <c r="F86" s="12">
        <f>0</f>
        <v>0</v>
      </c>
      <c r="G86" s="12" t="s">
        <v>15</v>
      </c>
      <c r="H86" s="12">
        <f>0</f>
        <v>0</v>
      </c>
    </row>
    <row r="87" spans="1:8" x14ac:dyDescent="0.25">
      <c r="A87" s="39"/>
      <c r="B87" s="48"/>
      <c r="C87" s="24" t="s">
        <v>294</v>
      </c>
      <c r="D87" s="25" t="s">
        <v>295</v>
      </c>
      <c r="E87" s="12">
        <f>E88</f>
        <v>4188</v>
      </c>
      <c r="F87" s="12">
        <f>F88</f>
        <v>4188</v>
      </c>
      <c r="G87" s="12" t="s">
        <v>18</v>
      </c>
      <c r="H87" s="12">
        <f>H88</f>
        <v>4188</v>
      </c>
    </row>
    <row r="88" spans="1:8" ht="220.5" x14ac:dyDescent="0.25">
      <c r="A88" s="39"/>
      <c r="B88" s="48"/>
      <c r="C88" s="24" t="s">
        <v>296</v>
      </c>
      <c r="D88" s="25" t="s">
        <v>297</v>
      </c>
      <c r="E88" s="12">
        <f>3141+1047</f>
        <v>4188</v>
      </c>
      <c r="F88" s="12">
        <f>3141+1047</f>
        <v>4188</v>
      </c>
      <c r="G88" s="12" t="s">
        <v>18</v>
      </c>
      <c r="H88" s="12">
        <f>3141+1047</f>
        <v>4188</v>
      </c>
    </row>
    <row r="89" spans="1:8" x14ac:dyDescent="0.25">
      <c r="A89" s="39"/>
      <c r="B89" s="48"/>
      <c r="C89" s="24" t="s">
        <v>298</v>
      </c>
      <c r="D89" s="25" t="s">
        <v>299</v>
      </c>
      <c r="E89" s="12">
        <f>E90+E91</f>
        <v>42536</v>
      </c>
      <c r="F89" s="12">
        <f>F90+F91</f>
        <v>42536</v>
      </c>
      <c r="G89" s="12" t="s">
        <v>18</v>
      </c>
      <c r="H89" s="12">
        <f>H90+H91</f>
        <v>42536</v>
      </c>
    </row>
    <row r="90" spans="1:8" ht="110.25" x14ac:dyDescent="0.25">
      <c r="A90" s="39"/>
      <c r="B90" s="48"/>
      <c r="C90" s="24" t="s">
        <v>300</v>
      </c>
      <c r="D90" s="25" t="s">
        <v>301</v>
      </c>
      <c r="E90" s="12">
        <f>8039+34497</f>
        <v>42536</v>
      </c>
      <c r="F90" s="12">
        <f>8039+34497</f>
        <v>42536</v>
      </c>
      <c r="G90" s="12" t="s">
        <v>18</v>
      </c>
      <c r="H90" s="12">
        <f>8039+34497</f>
        <v>42536</v>
      </c>
    </row>
    <row r="91" spans="1:8" ht="110.25" x14ac:dyDescent="0.25">
      <c r="A91" s="39"/>
      <c r="B91" s="48"/>
      <c r="C91" s="24" t="s">
        <v>569</v>
      </c>
      <c r="D91" s="25" t="s">
        <v>570</v>
      </c>
      <c r="E91" s="12">
        <f>0</f>
        <v>0</v>
      </c>
      <c r="F91" s="12">
        <f>0</f>
        <v>0</v>
      </c>
      <c r="G91" s="12" t="s">
        <v>15</v>
      </c>
      <c r="H91" s="12">
        <f>0</f>
        <v>0</v>
      </c>
    </row>
    <row r="92" spans="1:8" ht="31.5" x14ac:dyDescent="0.25">
      <c r="A92" s="39"/>
      <c r="B92" s="48"/>
      <c r="C92" s="22" t="s">
        <v>28</v>
      </c>
      <c r="D92" s="23" t="s">
        <v>302</v>
      </c>
      <c r="E92" s="3">
        <f>E93+E99+E101+E103+E105</f>
        <v>93956.627139999982</v>
      </c>
      <c r="F92" s="3">
        <f>F93+F99+F101+F103+F105</f>
        <v>93437.524879999997</v>
      </c>
      <c r="G92" s="3" t="s">
        <v>571</v>
      </c>
      <c r="H92" s="3">
        <f>H93+H99+H101+H103+H105</f>
        <v>93437.524879999997</v>
      </c>
    </row>
    <row r="93" spans="1:8" ht="31.5" x14ac:dyDescent="0.25">
      <c r="A93" s="39"/>
      <c r="B93" s="48"/>
      <c r="C93" s="24" t="s">
        <v>13</v>
      </c>
      <c r="D93" s="25" t="s">
        <v>303</v>
      </c>
      <c r="E93" s="12">
        <f>E94+E95+E96+E97+E98</f>
        <v>81014.961279999989</v>
      </c>
      <c r="F93" s="12">
        <f>F94+F95+F96+F97+F98</f>
        <v>80613.021580000001</v>
      </c>
      <c r="G93" s="12" t="s">
        <v>572</v>
      </c>
      <c r="H93" s="12">
        <f>H94+H95+H96+H97+H98</f>
        <v>80613.021580000001</v>
      </c>
    </row>
    <row r="94" spans="1:8" ht="31.5" x14ac:dyDescent="0.25">
      <c r="A94" s="39"/>
      <c r="B94" s="48"/>
      <c r="C94" s="24" t="s">
        <v>40</v>
      </c>
      <c r="D94" s="25" t="s">
        <v>304</v>
      </c>
      <c r="E94" s="12">
        <f>72475.47828</f>
        <v>72475.478279999996</v>
      </c>
      <c r="F94" s="12">
        <f>72206.26158</f>
        <v>72206.261580000006</v>
      </c>
      <c r="G94" s="12" t="s">
        <v>361</v>
      </c>
      <c r="H94" s="12">
        <f>72206.26158</f>
        <v>72206.261580000006</v>
      </c>
    </row>
    <row r="95" spans="1:8" ht="31.5" x14ac:dyDescent="0.25">
      <c r="A95" s="39"/>
      <c r="B95" s="48"/>
      <c r="C95" s="24" t="s">
        <v>45</v>
      </c>
      <c r="D95" s="25" t="s">
        <v>305</v>
      </c>
      <c r="E95" s="12">
        <f>155.275</f>
        <v>155.27500000000001</v>
      </c>
      <c r="F95" s="12">
        <f>154.984</f>
        <v>154.98400000000001</v>
      </c>
      <c r="G95" s="12" t="s">
        <v>541</v>
      </c>
      <c r="H95" s="12">
        <f>154.984</f>
        <v>154.98400000000001</v>
      </c>
    </row>
    <row r="96" spans="1:8" ht="31.5" x14ac:dyDescent="0.25">
      <c r="A96" s="39"/>
      <c r="B96" s="48"/>
      <c r="C96" s="24" t="s">
        <v>56</v>
      </c>
      <c r="D96" s="25" t="s">
        <v>306</v>
      </c>
      <c r="E96" s="12">
        <f>6254.208</f>
        <v>6254.2079999999996</v>
      </c>
      <c r="F96" s="12">
        <f>6121.776</f>
        <v>6121.7759999999998</v>
      </c>
      <c r="G96" s="12" t="s">
        <v>522</v>
      </c>
      <c r="H96" s="12">
        <f>6121.776</f>
        <v>6121.7759999999998</v>
      </c>
    </row>
    <row r="97" spans="1:8" x14ac:dyDescent="0.25">
      <c r="A97" s="39"/>
      <c r="B97" s="48"/>
      <c r="C97" s="24" t="s">
        <v>76</v>
      </c>
      <c r="D97" s="25" t="s">
        <v>573</v>
      </c>
      <c r="E97" s="12">
        <f>0</f>
        <v>0</v>
      </c>
      <c r="F97" s="12">
        <f>0</f>
        <v>0</v>
      </c>
      <c r="G97" s="12" t="s">
        <v>15</v>
      </c>
      <c r="H97" s="12">
        <f>0</f>
        <v>0</v>
      </c>
    </row>
    <row r="98" spans="1:8" ht="47.25" x14ac:dyDescent="0.25">
      <c r="A98" s="39"/>
      <c r="B98" s="48"/>
      <c r="C98" s="24" t="s">
        <v>574</v>
      </c>
      <c r="D98" s="25" t="s">
        <v>575</v>
      </c>
      <c r="E98" s="12">
        <f>2130</f>
        <v>2130</v>
      </c>
      <c r="F98" s="12">
        <f>2130</f>
        <v>2130</v>
      </c>
      <c r="G98" s="12" t="s">
        <v>18</v>
      </c>
      <c r="H98" s="12">
        <f>2130</f>
        <v>2130</v>
      </c>
    </row>
    <row r="99" spans="1:8" ht="31.5" x14ac:dyDescent="0.25">
      <c r="A99" s="39"/>
      <c r="B99" s="48"/>
      <c r="C99" s="24" t="s">
        <v>36</v>
      </c>
      <c r="D99" s="25" t="s">
        <v>307</v>
      </c>
      <c r="E99" s="12">
        <f>E100</f>
        <v>11699.52247</v>
      </c>
      <c r="F99" s="12">
        <f>F100</f>
        <v>11699.52247</v>
      </c>
      <c r="G99" s="12" t="s">
        <v>18</v>
      </c>
      <c r="H99" s="12">
        <f>H100</f>
        <v>11699.52247</v>
      </c>
    </row>
    <row r="100" spans="1:8" ht="47.25" x14ac:dyDescent="0.25">
      <c r="A100" s="39"/>
      <c r="B100" s="48"/>
      <c r="C100" s="24" t="s">
        <v>109</v>
      </c>
      <c r="D100" s="25" t="s">
        <v>308</v>
      </c>
      <c r="E100" s="12">
        <f>11699.52247</f>
        <v>11699.52247</v>
      </c>
      <c r="F100" s="12">
        <f>11699.52247</f>
        <v>11699.52247</v>
      </c>
      <c r="G100" s="12" t="s">
        <v>18</v>
      </c>
      <c r="H100" s="12">
        <f>11699.52247</f>
        <v>11699.52247</v>
      </c>
    </row>
    <row r="101" spans="1:8" x14ac:dyDescent="0.25">
      <c r="A101" s="39"/>
      <c r="B101" s="48"/>
      <c r="C101" s="24" t="s">
        <v>38</v>
      </c>
      <c r="D101" s="25" t="s">
        <v>291</v>
      </c>
      <c r="E101" s="12">
        <f>E102</f>
        <v>721.69600000000003</v>
      </c>
      <c r="F101" s="12">
        <f>F102</f>
        <v>604.57600000000002</v>
      </c>
      <c r="G101" s="12" t="s">
        <v>576</v>
      </c>
      <c r="H101" s="12">
        <f>H102</f>
        <v>604.57600000000002</v>
      </c>
    </row>
    <row r="102" spans="1:8" ht="31.5" x14ac:dyDescent="0.25">
      <c r="A102" s="39"/>
      <c r="B102" s="48"/>
      <c r="C102" s="24" t="s">
        <v>207</v>
      </c>
      <c r="D102" s="25" t="s">
        <v>309</v>
      </c>
      <c r="E102" s="12">
        <f>721.696</f>
        <v>721.69600000000003</v>
      </c>
      <c r="F102" s="12">
        <f>604.576</f>
        <v>604.57600000000002</v>
      </c>
      <c r="G102" s="12" t="s">
        <v>576</v>
      </c>
      <c r="H102" s="12">
        <f>604.576</f>
        <v>604.57600000000002</v>
      </c>
    </row>
    <row r="103" spans="1:8" x14ac:dyDescent="0.25">
      <c r="A103" s="39"/>
      <c r="B103" s="48"/>
      <c r="C103" s="24" t="s">
        <v>328</v>
      </c>
      <c r="D103" s="25" t="s">
        <v>329</v>
      </c>
      <c r="E103" s="12">
        <f>E104</f>
        <v>520.44739000000004</v>
      </c>
      <c r="F103" s="12">
        <f>F104</f>
        <v>520.40482999999995</v>
      </c>
      <c r="G103" s="12" t="s">
        <v>18</v>
      </c>
      <c r="H103" s="12">
        <f>H104</f>
        <v>520.40482999999995</v>
      </c>
    </row>
    <row r="104" spans="1:8" ht="47.25" x14ac:dyDescent="0.25">
      <c r="A104" s="39"/>
      <c r="B104" s="48"/>
      <c r="C104" s="24" t="s">
        <v>330</v>
      </c>
      <c r="D104" s="25" t="s">
        <v>331</v>
      </c>
      <c r="E104" s="12">
        <f>6.42527+385.51659+128.50553</f>
        <v>520.44739000000004</v>
      </c>
      <c r="F104" s="12">
        <f>6.42474+385.48507+128.49502</f>
        <v>520.40482999999995</v>
      </c>
      <c r="G104" s="12" t="s">
        <v>18</v>
      </c>
      <c r="H104" s="12">
        <f>6.42474+385.48507+128.49502</f>
        <v>520.40482999999995</v>
      </c>
    </row>
    <row r="105" spans="1:8" x14ac:dyDescent="0.25">
      <c r="A105" s="39"/>
      <c r="B105" s="48"/>
      <c r="C105" s="24" t="s">
        <v>294</v>
      </c>
      <c r="D105" s="25" t="s">
        <v>295</v>
      </c>
      <c r="E105" s="12">
        <f>0</f>
        <v>0</v>
      </c>
      <c r="F105" s="12">
        <f>0</f>
        <v>0</v>
      </c>
      <c r="G105" s="12" t="s">
        <v>15</v>
      </c>
      <c r="H105" s="12">
        <f>0</f>
        <v>0</v>
      </c>
    </row>
    <row r="106" spans="1:8" x14ac:dyDescent="0.25">
      <c r="A106" s="39"/>
      <c r="B106" s="48"/>
      <c r="C106" s="22" t="s">
        <v>44</v>
      </c>
      <c r="D106" s="23" t="s">
        <v>42</v>
      </c>
      <c r="E106" s="3">
        <f>E107</f>
        <v>37302.1849</v>
      </c>
      <c r="F106" s="3">
        <f>F107</f>
        <v>37226.788010000004</v>
      </c>
      <c r="G106" s="3" t="s">
        <v>541</v>
      </c>
      <c r="H106" s="3">
        <f>H107</f>
        <v>37226.788010000004</v>
      </c>
    </row>
    <row r="107" spans="1:8" ht="31.5" x14ac:dyDescent="0.25">
      <c r="A107" s="39"/>
      <c r="B107" s="48"/>
      <c r="C107" s="24" t="s">
        <v>16</v>
      </c>
      <c r="D107" s="25" t="s">
        <v>43</v>
      </c>
      <c r="E107" s="12">
        <f>E108+E109</f>
        <v>37302.1849</v>
      </c>
      <c r="F107" s="12">
        <f>F108+F109</f>
        <v>37226.788010000004</v>
      </c>
      <c r="G107" s="12" t="s">
        <v>541</v>
      </c>
      <c r="H107" s="12">
        <f>H108+H109</f>
        <v>37226.788010000004</v>
      </c>
    </row>
    <row r="108" spans="1:8" ht="31.5" x14ac:dyDescent="0.25">
      <c r="A108" s="39"/>
      <c r="B108" s="48"/>
      <c r="C108" s="24" t="s">
        <v>29</v>
      </c>
      <c r="D108" s="25" t="s">
        <v>310</v>
      </c>
      <c r="E108" s="12">
        <f>22889.51514</f>
        <v>22889.51514</v>
      </c>
      <c r="F108" s="12">
        <f>22860.58556</f>
        <v>22860.58556</v>
      </c>
      <c r="G108" s="12" t="s">
        <v>372</v>
      </c>
      <c r="H108" s="12">
        <f>22860.58556</f>
        <v>22860.58556</v>
      </c>
    </row>
    <row r="109" spans="1:8" ht="47.25" x14ac:dyDescent="0.25">
      <c r="A109" s="39"/>
      <c r="B109" s="48"/>
      <c r="C109" s="24" t="s">
        <v>30</v>
      </c>
      <c r="D109" s="25" t="s">
        <v>311</v>
      </c>
      <c r="E109" s="12">
        <f>14412.66976</f>
        <v>14412.669760000001</v>
      </c>
      <c r="F109" s="12">
        <f>14366.20245</f>
        <v>14366.202450000001</v>
      </c>
      <c r="G109" s="12" t="s">
        <v>554</v>
      </c>
      <c r="H109" s="12">
        <f>14366.20245</f>
        <v>14366.202450000001</v>
      </c>
    </row>
    <row r="110" spans="1:8" ht="19.5" x14ac:dyDescent="0.25">
      <c r="A110" s="40"/>
      <c r="B110" s="49"/>
      <c r="C110" s="1"/>
      <c r="D110" s="20" t="s">
        <v>6</v>
      </c>
      <c r="E110" s="21">
        <f>E59+E92+E106</f>
        <v>2445849.3950400008</v>
      </c>
      <c r="F110" s="21">
        <f>F59+F92+F106</f>
        <v>2405410.8580700001</v>
      </c>
      <c r="G110" s="21" t="s">
        <v>577</v>
      </c>
      <c r="H110" s="21">
        <f>H59+H92+H106</f>
        <v>2405410.8580700001</v>
      </c>
    </row>
    <row r="111" spans="1:8" ht="24" customHeight="1" x14ac:dyDescent="0.25">
      <c r="A111" s="38">
        <v>4</v>
      </c>
      <c r="B111" s="50" t="s">
        <v>7</v>
      </c>
      <c r="C111" s="22" t="s">
        <v>21</v>
      </c>
      <c r="D111" s="23" t="s">
        <v>125</v>
      </c>
      <c r="E111" s="3">
        <f>E112+E118+E120</f>
        <v>10219</v>
      </c>
      <c r="F111" s="3">
        <f>F112+F118+F120</f>
        <v>10033.99</v>
      </c>
      <c r="G111" s="3" t="s">
        <v>544</v>
      </c>
      <c r="H111" s="3">
        <f>H112+H118+H120</f>
        <v>10033.99</v>
      </c>
    </row>
    <row r="112" spans="1:8" ht="31.5" x14ac:dyDescent="0.25">
      <c r="A112" s="39"/>
      <c r="B112" s="50"/>
      <c r="C112" s="24" t="s">
        <v>126</v>
      </c>
      <c r="D112" s="25" t="s">
        <v>127</v>
      </c>
      <c r="E112" s="12">
        <f>E113</f>
        <v>2812</v>
      </c>
      <c r="F112" s="12">
        <f>F113</f>
        <v>2626.9900000000002</v>
      </c>
      <c r="G112" s="12" t="s">
        <v>578</v>
      </c>
      <c r="H112" s="12">
        <f>H113</f>
        <v>2626.9900000000002</v>
      </c>
    </row>
    <row r="113" spans="1:8" x14ac:dyDescent="0.25">
      <c r="A113" s="39"/>
      <c r="B113" s="50"/>
      <c r="C113" s="24" t="s">
        <v>128</v>
      </c>
      <c r="D113" s="25" t="s">
        <v>129</v>
      </c>
      <c r="E113" s="12">
        <f>E114+E115+E116+E117</f>
        <v>2812</v>
      </c>
      <c r="F113" s="12">
        <f>F114+F115+F116+F117</f>
        <v>2626.9900000000002</v>
      </c>
      <c r="G113" s="12" t="s">
        <v>578</v>
      </c>
      <c r="H113" s="12">
        <f>H114+H115+H116+H117</f>
        <v>2626.9900000000002</v>
      </c>
    </row>
    <row r="114" spans="1:8" ht="63" x14ac:dyDescent="0.25">
      <c r="A114" s="39"/>
      <c r="B114" s="50"/>
      <c r="C114" s="24" t="s">
        <v>130</v>
      </c>
      <c r="D114" s="25" t="s">
        <v>579</v>
      </c>
      <c r="E114" s="12">
        <f>14.2</f>
        <v>14.2</v>
      </c>
      <c r="F114" s="12">
        <f>14.2</f>
        <v>14.2</v>
      </c>
      <c r="G114" s="12" t="s">
        <v>18</v>
      </c>
      <c r="H114" s="12">
        <f>14.2</f>
        <v>14.2</v>
      </c>
    </row>
    <row r="115" spans="1:8" ht="47.25" x14ac:dyDescent="0.25">
      <c r="A115" s="39"/>
      <c r="B115" s="50"/>
      <c r="C115" s="24" t="s">
        <v>131</v>
      </c>
      <c r="D115" s="25" t="s">
        <v>132</v>
      </c>
      <c r="E115" s="12">
        <f>1996.18</f>
        <v>1996.18</v>
      </c>
      <c r="F115" s="12">
        <f>1996.18</f>
        <v>1996.18</v>
      </c>
      <c r="G115" s="12" t="s">
        <v>18</v>
      </c>
      <c r="H115" s="12">
        <f>1996.18</f>
        <v>1996.18</v>
      </c>
    </row>
    <row r="116" spans="1:8" ht="78.75" x14ac:dyDescent="0.25">
      <c r="A116" s="39"/>
      <c r="B116" s="50"/>
      <c r="C116" s="24" t="s">
        <v>133</v>
      </c>
      <c r="D116" s="25" t="s">
        <v>580</v>
      </c>
      <c r="E116" s="12">
        <f>406.62</f>
        <v>406.62</v>
      </c>
      <c r="F116" s="12">
        <f>406.61</f>
        <v>406.61</v>
      </c>
      <c r="G116" s="12" t="s">
        <v>18</v>
      </c>
      <c r="H116" s="12">
        <f>406.61</f>
        <v>406.61</v>
      </c>
    </row>
    <row r="117" spans="1:8" ht="110.25" x14ac:dyDescent="0.25">
      <c r="A117" s="39"/>
      <c r="B117" s="50"/>
      <c r="C117" s="24" t="s">
        <v>134</v>
      </c>
      <c r="D117" s="25" t="s">
        <v>135</v>
      </c>
      <c r="E117" s="12">
        <f>395</f>
        <v>395</v>
      </c>
      <c r="F117" s="12">
        <f>210</f>
        <v>210</v>
      </c>
      <c r="G117" s="12" t="s">
        <v>581</v>
      </c>
      <c r="H117" s="12">
        <f>210</f>
        <v>210</v>
      </c>
    </row>
    <row r="118" spans="1:8" ht="31.5" x14ac:dyDescent="0.25">
      <c r="A118" s="39"/>
      <c r="B118" s="50"/>
      <c r="C118" s="24" t="s">
        <v>136</v>
      </c>
      <c r="D118" s="25" t="s">
        <v>137</v>
      </c>
      <c r="E118" s="12">
        <f>E119</f>
        <v>7407</v>
      </c>
      <c r="F118" s="12">
        <f>F119</f>
        <v>7407</v>
      </c>
      <c r="G118" s="12" t="s">
        <v>18</v>
      </c>
      <c r="H118" s="12">
        <f>H119</f>
        <v>7407</v>
      </c>
    </row>
    <row r="119" spans="1:8" ht="47.25" x14ac:dyDescent="0.25">
      <c r="A119" s="39"/>
      <c r="B119" s="50"/>
      <c r="C119" s="24" t="s">
        <v>138</v>
      </c>
      <c r="D119" s="25" t="s">
        <v>139</v>
      </c>
      <c r="E119" s="12">
        <f>7407</f>
        <v>7407</v>
      </c>
      <c r="F119" s="12">
        <f>7407</f>
        <v>7407</v>
      </c>
      <c r="G119" s="12" t="s">
        <v>18</v>
      </c>
      <c r="H119" s="12">
        <f>7407</f>
        <v>7407</v>
      </c>
    </row>
    <row r="120" spans="1:8" ht="31.5" x14ac:dyDescent="0.25">
      <c r="A120" s="39"/>
      <c r="B120" s="50"/>
      <c r="C120" s="24" t="s">
        <v>140</v>
      </c>
      <c r="D120" s="25" t="s">
        <v>141</v>
      </c>
      <c r="E120" s="12">
        <f>0</f>
        <v>0</v>
      </c>
      <c r="F120" s="12">
        <f>0</f>
        <v>0</v>
      </c>
      <c r="G120" s="12" t="s">
        <v>15</v>
      </c>
      <c r="H120" s="12">
        <f>0</f>
        <v>0</v>
      </c>
    </row>
    <row r="121" spans="1:8" x14ac:dyDescent="0.25">
      <c r="A121" s="39"/>
      <c r="B121" s="50"/>
      <c r="C121" s="22" t="s">
        <v>28</v>
      </c>
      <c r="D121" s="23" t="s">
        <v>142</v>
      </c>
      <c r="E121" s="3">
        <f>E122</f>
        <v>28611.599999999999</v>
      </c>
      <c r="F121" s="3">
        <f>F122</f>
        <v>28611.599999999999</v>
      </c>
      <c r="G121" s="3" t="s">
        <v>18</v>
      </c>
      <c r="H121" s="3">
        <f>H122</f>
        <v>28611.599999999999</v>
      </c>
    </row>
    <row r="122" spans="1:8" x14ac:dyDescent="0.25">
      <c r="A122" s="39"/>
      <c r="B122" s="50"/>
      <c r="C122" s="24" t="s">
        <v>33</v>
      </c>
      <c r="D122" s="25" t="s">
        <v>143</v>
      </c>
      <c r="E122" s="12">
        <f>E123+E124</f>
        <v>28611.599999999999</v>
      </c>
      <c r="F122" s="12">
        <f>F123+F124</f>
        <v>28611.599999999999</v>
      </c>
      <c r="G122" s="12" t="s">
        <v>18</v>
      </c>
      <c r="H122" s="12">
        <f>H123+H124</f>
        <v>28611.599999999999</v>
      </c>
    </row>
    <row r="123" spans="1:8" x14ac:dyDescent="0.25">
      <c r="A123" s="39"/>
      <c r="B123" s="50"/>
      <c r="C123" s="24" t="s">
        <v>34</v>
      </c>
      <c r="D123" s="25" t="s">
        <v>143</v>
      </c>
      <c r="E123" s="12">
        <f>16695+6050+5866.6</f>
        <v>28611.599999999999</v>
      </c>
      <c r="F123" s="12">
        <f>16695+6050+5866.6</f>
        <v>28611.599999999999</v>
      </c>
      <c r="G123" s="12" t="s">
        <v>18</v>
      </c>
      <c r="H123" s="12">
        <f>16695+6050+5866.6</f>
        <v>28611.599999999999</v>
      </c>
    </row>
    <row r="124" spans="1:8" ht="47.25" x14ac:dyDescent="0.25">
      <c r="A124" s="39"/>
      <c r="B124" s="50"/>
      <c r="C124" s="24" t="s">
        <v>41</v>
      </c>
      <c r="D124" s="25" t="s">
        <v>144</v>
      </c>
      <c r="E124" s="12">
        <f>0</f>
        <v>0</v>
      </c>
      <c r="F124" s="12">
        <f>0</f>
        <v>0</v>
      </c>
      <c r="G124" s="12" t="s">
        <v>15</v>
      </c>
      <c r="H124" s="12">
        <f>0</f>
        <v>0</v>
      </c>
    </row>
    <row r="125" spans="1:8" ht="31.5" x14ac:dyDescent="0.25">
      <c r="A125" s="39"/>
      <c r="B125" s="50"/>
      <c r="C125" s="22" t="s">
        <v>44</v>
      </c>
      <c r="D125" s="23" t="s">
        <v>145</v>
      </c>
      <c r="E125" s="3">
        <f>E126</f>
        <v>0</v>
      </c>
      <c r="F125" s="3">
        <f>F126</f>
        <v>0</v>
      </c>
      <c r="G125" s="3" t="s">
        <v>15</v>
      </c>
      <c r="H125" s="3">
        <f>H126</f>
        <v>0</v>
      </c>
    </row>
    <row r="126" spans="1:8" x14ac:dyDescent="0.25">
      <c r="A126" s="39"/>
      <c r="B126" s="50"/>
      <c r="C126" s="24" t="s">
        <v>33</v>
      </c>
      <c r="D126" s="25" t="s">
        <v>146</v>
      </c>
      <c r="E126" s="12">
        <f>0</f>
        <v>0</v>
      </c>
      <c r="F126" s="12">
        <f>0</f>
        <v>0</v>
      </c>
      <c r="G126" s="12" t="s">
        <v>15</v>
      </c>
      <c r="H126" s="12">
        <f>0</f>
        <v>0</v>
      </c>
    </row>
    <row r="127" spans="1:8" x14ac:dyDescent="0.25">
      <c r="A127" s="39"/>
      <c r="B127" s="50"/>
      <c r="C127" s="22" t="s">
        <v>14</v>
      </c>
      <c r="D127" s="23" t="s">
        <v>42</v>
      </c>
      <c r="E127" s="3">
        <f>E128</f>
        <v>6377</v>
      </c>
      <c r="F127" s="3">
        <f>F128</f>
        <v>6367.2</v>
      </c>
      <c r="G127" s="3" t="s">
        <v>541</v>
      </c>
      <c r="H127" s="3">
        <f>H128</f>
        <v>6367.2</v>
      </c>
    </row>
    <row r="128" spans="1:8" ht="47.25" x14ac:dyDescent="0.25">
      <c r="A128" s="39"/>
      <c r="B128" s="50"/>
      <c r="C128" s="24" t="s">
        <v>33</v>
      </c>
      <c r="D128" s="25" t="s">
        <v>147</v>
      </c>
      <c r="E128" s="12">
        <f>E129</f>
        <v>6377</v>
      </c>
      <c r="F128" s="12">
        <f>F129</f>
        <v>6367.2</v>
      </c>
      <c r="G128" s="12" t="s">
        <v>541</v>
      </c>
      <c r="H128" s="12">
        <f>H129</f>
        <v>6367.2</v>
      </c>
    </row>
    <row r="129" spans="1:8" ht="47.25" x14ac:dyDescent="0.25">
      <c r="A129" s="39"/>
      <c r="B129" s="50"/>
      <c r="C129" s="24" t="s">
        <v>35</v>
      </c>
      <c r="D129" s="25" t="s">
        <v>148</v>
      </c>
      <c r="E129" s="12">
        <f>6377</f>
        <v>6377</v>
      </c>
      <c r="F129" s="12">
        <f>6367.2</f>
        <v>6367.2</v>
      </c>
      <c r="G129" s="12" t="s">
        <v>541</v>
      </c>
      <c r="H129" s="12">
        <f>6367.2</f>
        <v>6367.2</v>
      </c>
    </row>
    <row r="130" spans="1:8" ht="31.5" x14ac:dyDescent="0.25">
      <c r="A130" s="39"/>
      <c r="B130" s="50"/>
      <c r="C130" s="22" t="s">
        <v>55</v>
      </c>
      <c r="D130" s="23" t="s">
        <v>149</v>
      </c>
      <c r="E130" s="3">
        <f>E131+E132</f>
        <v>0</v>
      </c>
      <c r="F130" s="3">
        <f>F131+F132</f>
        <v>0</v>
      </c>
      <c r="G130" s="3" t="s">
        <v>15</v>
      </c>
      <c r="H130" s="3">
        <f>H131+H132</f>
        <v>0</v>
      </c>
    </row>
    <row r="131" spans="1:8" x14ac:dyDescent="0.25">
      <c r="A131" s="39"/>
      <c r="B131" s="50"/>
      <c r="C131" s="24" t="s">
        <v>16</v>
      </c>
      <c r="D131" s="25" t="s">
        <v>150</v>
      </c>
      <c r="E131" s="12">
        <f>0</f>
        <v>0</v>
      </c>
      <c r="F131" s="12">
        <f>0</f>
        <v>0</v>
      </c>
      <c r="G131" s="12" t="s">
        <v>15</v>
      </c>
      <c r="H131" s="12">
        <f>0</f>
        <v>0</v>
      </c>
    </row>
    <row r="132" spans="1:8" ht="31.5" x14ac:dyDescent="0.25">
      <c r="A132" s="39"/>
      <c r="B132" s="50"/>
      <c r="C132" s="24" t="s">
        <v>13</v>
      </c>
      <c r="D132" s="25" t="s">
        <v>151</v>
      </c>
      <c r="E132" s="12">
        <f>0</f>
        <v>0</v>
      </c>
      <c r="F132" s="12">
        <f>0</f>
        <v>0</v>
      </c>
      <c r="G132" s="12" t="s">
        <v>15</v>
      </c>
      <c r="H132" s="12">
        <f>0</f>
        <v>0</v>
      </c>
    </row>
    <row r="133" spans="1:8" ht="31.5" x14ac:dyDescent="0.25">
      <c r="A133" s="39"/>
      <c r="B133" s="50"/>
      <c r="C133" s="22" t="s">
        <v>152</v>
      </c>
      <c r="D133" s="23" t="s">
        <v>153</v>
      </c>
      <c r="E133" s="3">
        <f>E134</f>
        <v>0</v>
      </c>
      <c r="F133" s="3">
        <f>F134</f>
        <v>0</v>
      </c>
      <c r="G133" s="3" t="s">
        <v>15</v>
      </c>
      <c r="H133" s="3">
        <f>H134</f>
        <v>0</v>
      </c>
    </row>
    <row r="134" spans="1:8" ht="47.25" x14ac:dyDescent="0.25">
      <c r="A134" s="39"/>
      <c r="B134" s="50"/>
      <c r="C134" s="24" t="s">
        <v>16</v>
      </c>
      <c r="D134" s="25" t="s">
        <v>154</v>
      </c>
      <c r="E134" s="12">
        <f>0</f>
        <v>0</v>
      </c>
      <c r="F134" s="12">
        <f>0</f>
        <v>0</v>
      </c>
      <c r="G134" s="12" t="s">
        <v>15</v>
      </c>
      <c r="H134" s="12">
        <f>0</f>
        <v>0</v>
      </c>
    </row>
    <row r="135" spans="1:8" ht="18.75" customHeight="1" x14ac:dyDescent="0.25">
      <c r="A135" s="40"/>
      <c r="B135" s="50"/>
      <c r="C135" s="1"/>
      <c r="D135" s="20" t="s">
        <v>6</v>
      </c>
      <c r="E135" s="21">
        <f>E111+E121+E125+E127+E130+E133</f>
        <v>45207.6</v>
      </c>
      <c r="F135" s="21">
        <f>F111+F121+F125+F127+F130+F133</f>
        <v>45012.789999999994</v>
      </c>
      <c r="G135" s="21" t="s">
        <v>361</v>
      </c>
      <c r="H135" s="21">
        <f>H111+H121+H125+H127+H130+H133</f>
        <v>45012.789999999994</v>
      </c>
    </row>
    <row r="136" spans="1:8" x14ac:dyDescent="0.25">
      <c r="A136" s="38">
        <v>5</v>
      </c>
      <c r="B136" s="47" t="s">
        <v>321</v>
      </c>
      <c r="C136" s="22" t="s">
        <v>21</v>
      </c>
      <c r="D136" s="23" t="s">
        <v>155</v>
      </c>
      <c r="E136" s="3">
        <f>E137+E142+E145</f>
        <v>51069.3</v>
      </c>
      <c r="F136" s="3">
        <f>F137+F142+F145</f>
        <v>51008.47</v>
      </c>
      <c r="G136" s="3" t="s">
        <v>372</v>
      </c>
      <c r="H136" s="3">
        <f>H137+H142+H145</f>
        <v>51008.47</v>
      </c>
    </row>
    <row r="137" spans="1:8" ht="31.5" x14ac:dyDescent="0.25">
      <c r="A137" s="39"/>
      <c r="B137" s="48"/>
      <c r="C137" s="24" t="s">
        <v>16</v>
      </c>
      <c r="D137" s="25" t="s">
        <v>156</v>
      </c>
      <c r="E137" s="12">
        <f>E138+E139+E140+E141</f>
        <v>29830.32</v>
      </c>
      <c r="F137" s="12">
        <f>F138+F139+F140+F141</f>
        <v>29769.49</v>
      </c>
      <c r="G137" s="12" t="s">
        <v>541</v>
      </c>
      <c r="H137" s="12">
        <f>H138+H139+H140+H141</f>
        <v>29769.49</v>
      </c>
    </row>
    <row r="138" spans="1:8" ht="31.5" x14ac:dyDescent="0.25">
      <c r="A138" s="39"/>
      <c r="B138" s="48"/>
      <c r="C138" s="24" t="s">
        <v>29</v>
      </c>
      <c r="D138" s="25" t="s">
        <v>157</v>
      </c>
      <c r="E138" s="12">
        <f>8585.44</f>
        <v>8585.44</v>
      </c>
      <c r="F138" s="12">
        <f>8524.61</f>
        <v>8524.61</v>
      </c>
      <c r="G138" s="12" t="s">
        <v>549</v>
      </c>
      <c r="H138" s="12">
        <f>8524.61</f>
        <v>8524.61</v>
      </c>
    </row>
    <row r="139" spans="1:8" ht="47.25" x14ac:dyDescent="0.25">
      <c r="A139" s="39"/>
      <c r="B139" s="48"/>
      <c r="C139" s="24" t="s">
        <v>30</v>
      </c>
      <c r="D139" s="25" t="s">
        <v>158</v>
      </c>
      <c r="E139" s="12">
        <f>0</f>
        <v>0</v>
      </c>
      <c r="F139" s="12">
        <f>0</f>
        <v>0</v>
      </c>
      <c r="G139" s="12" t="s">
        <v>15</v>
      </c>
      <c r="H139" s="12">
        <f>0</f>
        <v>0</v>
      </c>
    </row>
    <row r="140" spans="1:8" ht="31.5" x14ac:dyDescent="0.25">
      <c r="A140" s="39"/>
      <c r="B140" s="48"/>
      <c r="C140" s="24" t="s">
        <v>22</v>
      </c>
      <c r="D140" s="25" t="s">
        <v>159</v>
      </c>
      <c r="E140" s="12">
        <f>0</f>
        <v>0</v>
      </c>
      <c r="F140" s="12">
        <f>0</f>
        <v>0</v>
      </c>
      <c r="G140" s="12" t="s">
        <v>15</v>
      </c>
      <c r="H140" s="12">
        <f>0</f>
        <v>0</v>
      </c>
    </row>
    <row r="141" spans="1:8" ht="31.5" x14ac:dyDescent="0.25">
      <c r="A141" s="39"/>
      <c r="B141" s="48"/>
      <c r="C141" s="24" t="s">
        <v>23</v>
      </c>
      <c r="D141" s="25" t="s">
        <v>160</v>
      </c>
      <c r="E141" s="12">
        <f>21244.88</f>
        <v>21244.880000000001</v>
      </c>
      <c r="F141" s="12">
        <f>21244.88</f>
        <v>21244.880000000001</v>
      </c>
      <c r="G141" s="12" t="s">
        <v>18</v>
      </c>
      <c r="H141" s="12">
        <f>21244.88</f>
        <v>21244.880000000001</v>
      </c>
    </row>
    <row r="142" spans="1:8" ht="47.25" x14ac:dyDescent="0.25">
      <c r="A142" s="39"/>
      <c r="B142" s="48"/>
      <c r="C142" s="24" t="s">
        <v>33</v>
      </c>
      <c r="D142" s="25" t="s">
        <v>161</v>
      </c>
      <c r="E142" s="12">
        <f>E143+E144</f>
        <v>1238.98</v>
      </c>
      <c r="F142" s="12">
        <f>F143+F144</f>
        <v>1238.98</v>
      </c>
      <c r="G142" s="12" t="s">
        <v>18</v>
      </c>
      <c r="H142" s="12">
        <f>H143+H144</f>
        <v>1238.98</v>
      </c>
    </row>
    <row r="143" spans="1:8" ht="94.5" x14ac:dyDescent="0.25">
      <c r="A143" s="39"/>
      <c r="B143" s="48"/>
      <c r="C143" s="24" t="s">
        <v>41</v>
      </c>
      <c r="D143" s="25" t="s">
        <v>332</v>
      </c>
      <c r="E143" s="12">
        <f>0</f>
        <v>0</v>
      </c>
      <c r="F143" s="12">
        <f>0</f>
        <v>0</v>
      </c>
      <c r="G143" s="12" t="s">
        <v>15</v>
      </c>
      <c r="H143" s="12">
        <f>0</f>
        <v>0</v>
      </c>
    </row>
    <row r="144" spans="1:8" ht="31.5" x14ac:dyDescent="0.25">
      <c r="A144" s="39"/>
      <c r="B144" s="48"/>
      <c r="C144" s="24" t="s">
        <v>98</v>
      </c>
      <c r="D144" s="25" t="s">
        <v>162</v>
      </c>
      <c r="E144" s="12">
        <f>1238.98</f>
        <v>1238.98</v>
      </c>
      <c r="F144" s="12">
        <f>1238.98</f>
        <v>1238.98</v>
      </c>
      <c r="G144" s="12" t="s">
        <v>18</v>
      </c>
      <c r="H144" s="12">
        <f>1238.98</f>
        <v>1238.98</v>
      </c>
    </row>
    <row r="145" spans="1:8" x14ac:dyDescent="0.25">
      <c r="A145" s="39"/>
      <c r="B145" s="48"/>
      <c r="C145" s="24" t="s">
        <v>36</v>
      </c>
      <c r="D145" s="25" t="s">
        <v>163</v>
      </c>
      <c r="E145" s="12">
        <f>E146</f>
        <v>20000</v>
      </c>
      <c r="F145" s="12">
        <f>F146</f>
        <v>20000</v>
      </c>
      <c r="G145" s="12" t="s">
        <v>18</v>
      </c>
      <c r="H145" s="12">
        <f>H146</f>
        <v>20000</v>
      </c>
    </row>
    <row r="146" spans="1:8" x14ac:dyDescent="0.25">
      <c r="A146" s="39"/>
      <c r="B146" s="48"/>
      <c r="C146" s="24" t="s">
        <v>109</v>
      </c>
      <c r="D146" s="25" t="s">
        <v>164</v>
      </c>
      <c r="E146" s="12">
        <f>3780+16220</f>
        <v>20000</v>
      </c>
      <c r="F146" s="12">
        <f>3780+16220</f>
        <v>20000</v>
      </c>
      <c r="G146" s="12" t="s">
        <v>18</v>
      </c>
      <c r="H146" s="12">
        <f>3780+16220</f>
        <v>20000</v>
      </c>
    </row>
    <row r="147" spans="1:8" x14ac:dyDescent="0.25">
      <c r="A147" s="39"/>
      <c r="B147" s="48"/>
      <c r="C147" s="22" t="s">
        <v>28</v>
      </c>
      <c r="D147" s="23" t="s">
        <v>165</v>
      </c>
      <c r="E147" s="3">
        <f>E148+E151</f>
        <v>125405.79000000001</v>
      </c>
      <c r="F147" s="3">
        <f>F148+F151</f>
        <v>125405.79000000001</v>
      </c>
      <c r="G147" s="3" t="s">
        <v>18</v>
      </c>
      <c r="H147" s="3">
        <f>H148+H151</f>
        <v>125405.79000000001</v>
      </c>
    </row>
    <row r="148" spans="1:8" x14ac:dyDescent="0.25">
      <c r="A148" s="39"/>
      <c r="B148" s="48"/>
      <c r="C148" s="24" t="s">
        <v>16</v>
      </c>
      <c r="D148" s="25" t="s">
        <v>166</v>
      </c>
      <c r="E148" s="12">
        <f>E149+E150</f>
        <v>123659.79000000001</v>
      </c>
      <c r="F148" s="12">
        <f>F149+F150</f>
        <v>123659.79000000001</v>
      </c>
      <c r="G148" s="12" t="s">
        <v>18</v>
      </c>
      <c r="H148" s="12">
        <f>H149+H150</f>
        <v>123659.79000000001</v>
      </c>
    </row>
    <row r="149" spans="1:8" ht="47.25" x14ac:dyDescent="0.25">
      <c r="A149" s="39"/>
      <c r="B149" s="48"/>
      <c r="C149" s="24" t="s">
        <v>29</v>
      </c>
      <c r="D149" s="25" t="s">
        <v>167</v>
      </c>
      <c r="E149" s="12">
        <f>104125.69</f>
        <v>104125.69</v>
      </c>
      <c r="F149" s="12">
        <f>104125.69</f>
        <v>104125.69</v>
      </c>
      <c r="G149" s="12" t="s">
        <v>18</v>
      </c>
      <c r="H149" s="12">
        <f>104125.69</f>
        <v>104125.69</v>
      </c>
    </row>
    <row r="150" spans="1:8" ht="47.25" x14ac:dyDescent="0.25">
      <c r="A150" s="39"/>
      <c r="B150" s="48"/>
      <c r="C150" s="24" t="s">
        <v>30</v>
      </c>
      <c r="D150" s="25" t="s">
        <v>168</v>
      </c>
      <c r="E150" s="12">
        <f>19534.1</f>
        <v>19534.099999999999</v>
      </c>
      <c r="F150" s="12">
        <f>19534.1</f>
        <v>19534.099999999999</v>
      </c>
      <c r="G150" s="12" t="s">
        <v>18</v>
      </c>
      <c r="H150" s="12">
        <f>19534.1</f>
        <v>19534.099999999999</v>
      </c>
    </row>
    <row r="151" spans="1:8" ht="31.5" x14ac:dyDescent="0.25">
      <c r="A151" s="39"/>
      <c r="B151" s="48"/>
      <c r="C151" s="24" t="s">
        <v>36</v>
      </c>
      <c r="D151" s="25" t="s">
        <v>582</v>
      </c>
      <c r="E151" s="12">
        <f>E152</f>
        <v>1746</v>
      </c>
      <c r="F151" s="12">
        <f>F152</f>
        <v>1746</v>
      </c>
      <c r="G151" s="12" t="s">
        <v>18</v>
      </c>
      <c r="H151" s="12">
        <f>H152</f>
        <v>1746</v>
      </c>
    </row>
    <row r="152" spans="1:8" ht="47.25" x14ac:dyDescent="0.25">
      <c r="A152" s="39"/>
      <c r="B152" s="48"/>
      <c r="C152" s="24" t="s">
        <v>48</v>
      </c>
      <c r="D152" s="25" t="s">
        <v>583</v>
      </c>
      <c r="E152" s="12">
        <f>1746</f>
        <v>1746</v>
      </c>
      <c r="F152" s="12">
        <f>1746</f>
        <v>1746</v>
      </c>
      <c r="G152" s="12" t="s">
        <v>18</v>
      </c>
      <c r="H152" s="12">
        <f>1746</f>
        <v>1746</v>
      </c>
    </row>
    <row r="153" spans="1:8" x14ac:dyDescent="0.25">
      <c r="A153" s="39"/>
      <c r="B153" s="48"/>
      <c r="C153" s="22" t="s">
        <v>17</v>
      </c>
      <c r="D153" s="23" t="s">
        <v>42</v>
      </c>
      <c r="E153" s="3">
        <f>E154</f>
        <v>0</v>
      </c>
      <c r="F153" s="3">
        <f>F154</f>
        <v>0</v>
      </c>
      <c r="G153" s="3" t="s">
        <v>15</v>
      </c>
      <c r="H153" s="3">
        <f>H154</f>
        <v>0</v>
      </c>
    </row>
    <row r="154" spans="1:8" ht="31.5" x14ac:dyDescent="0.25">
      <c r="A154" s="39"/>
      <c r="B154" s="48"/>
      <c r="C154" s="24" t="s">
        <v>16</v>
      </c>
      <c r="D154" s="25" t="s">
        <v>43</v>
      </c>
      <c r="E154" s="12">
        <f>0</f>
        <v>0</v>
      </c>
      <c r="F154" s="12">
        <f>0</f>
        <v>0</v>
      </c>
      <c r="G154" s="12" t="s">
        <v>15</v>
      </c>
      <c r="H154" s="12">
        <f>0</f>
        <v>0</v>
      </c>
    </row>
    <row r="155" spans="1:8" ht="19.5" x14ac:dyDescent="0.25">
      <c r="A155" s="40"/>
      <c r="B155" s="49"/>
      <c r="C155" s="17"/>
      <c r="D155" s="20" t="s">
        <v>6</v>
      </c>
      <c r="E155" s="21">
        <f>E136+E147+E153</f>
        <v>176475.09000000003</v>
      </c>
      <c r="F155" s="21">
        <f>F136+F147+F153</f>
        <v>176414.26</v>
      </c>
      <c r="G155" s="21" t="s">
        <v>18</v>
      </c>
      <c r="H155" s="21">
        <f>H136+H147+H153</f>
        <v>176414.26</v>
      </c>
    </row>
    <row r="156" spans="1:8" ht="47.25" customHeight="1" x14ac:dyDescent="0.25">
      <c r="A156" s="38">
        <v>6</v>
      </c>
      <c r="B156" s="38" t="s">
        <v>334</v>
      </c>
      <c r="C156" s="22" t="s">
        <v>28</v>
      </c>
      <c r="D156" s="23" t="s">
        <v>169</v>
      </c>
      <c r="E156" s="3">
        <f>E157</f>
        <v>91.03</v>
      </c>
      <c r="F156" s="3">
        <f>F157</f>
        <v>91.03</v>
      </c>
      <c r="G156" s="3" t="s">
        <v>18</v>
      </c>
      <c r="H156" s="3">
        <f>H157</f>
        <v>91.03</v>
      </c>
    </row>
    <row r="157" spans="1:8" ht="31.5" x14ac:dyDescent="0.25">
      <c r="A157" s="39"/>
      <c r="B157" s="39"/>
      <c r="C157" s="24" t="s">
        <v>16</v>
      </c>
      <c r="D157" s="25" t="s">
        <v>170</v>
      </c>
      <c r="E157" s="12">
        <f>E158</f>
        <v>91.03</v>
      </c>
      <c r="F157" s="12">
        <f>F158</f>
        <v>91.03</v>
      </c>
      <c r="G157" s="12" t="s">
        <v>18</v>
      </c>
      <c r="H157" s="12">
        <f>H158</f>
        <v>91.03</v>
      </c>
    </row>
    <row r="158" spans="1:8" ht="31.5" x14ac:dyDescent="0.25">
      <c r="A158" s="39"/>
      <c r="B158" s="39"/>
      <c r="C158" s="24" t="s">
        <v>30</v>
      </c>
      <c r="D158" s="25" t="s">
        <v>171</v>
      </c>
      <c r="E158" s="12">
        <f>91.03</f>
        <v>91.03</v>
      </c>
      <c r="F158" s="12">
        <f>91.03</f>
        <v>91.03</v>
      </c>
      <c r="G158" s="12" t="s">
        <v>18</v>
      </c>
      <c r="H158" s="12">
        <f>91.03</f>
        <v>91.03</v>
      </c>
    </row>
    <row r="159" spans="1:8" ht="31.5" x14ac:dyDescent="0.25">
      <c r="A159" s="39"/>
      <c r="B159" s="39"/>
      <c r="C159" s="22" t="s">
        <v>44</v>
      </c>
      <c r="D159" s="23" t="s">
        <v>172</v>
      </c>
      <c r="E159" s="3">
        <f>E160</f>
        <v>887</v>
      </c>
      <c r="F159" s="3">
        <f>F160</f>
        <v>703.01896999999997</v>
      </c>
      <c r="G159" s="3" t="s">
        <v>584</v>
      </c>
      <c r="H159" s="3">
        <f>H160</f>
        <v>703.01896999999997</v>
      </c>
    </row>
    <row r="160" spans="1:8" x14ac:dyDescent="0.25">
      <c r="A160" s="39"/>
      <c r="B160" s="39"/>
      <c r="C160" s="24" t="s">
        <v>16</v>
      </c>
      <c r="D160" s="25" t="s">
        <v>173</v>
      </c>
      <c r="E160" s="12">
        <f>E161</f>
        <v>887</v>
      </c>
      <c r="F160" s="12">
        <f>F161</f>
        <v>703.01896999999997</v>
      </c>
      <c r="G160" s="12" t="s">
        <v>584</v>
      </c>
      <c r="H160" s="12">
        <f>H161</f>
        <v>703.01896999999997</v>
      </c>
    </row>
    <row r="161" spans="1:8" ht="47.25" x14ac:dyDescent="0.25">
      <c r="A161" s="39"/>
      <c r="B161" s="39"/>
      <c r="C161" s="24" t="s">
        <v>29</v>
      </c>
      <c r="D161" s="25" t="s">
        <v>333</v>
      </c>
      <c r="E161" s="12">
        <f>887</f>
        <v>887</v>
      </c>
      <c r="F161" s="12">
        <f>703.01897</f>
        <v>703.01896999999997</v>
      </c>
      <c r="G161" s="12" t="s">
        <v>584</v>
      </c>
      <c r="H161" s="12">
        <f>703.01897</f>
        <v>703.01896999999997</v>
      </c>
    </row>
    <row r="162" spans="1:8" ht="19.5" x14ac:dyDescent="0.25">
      <c r="A162" s="40"/>
      <c r="B162" s="40"/>
      <c r="C162" s="17"/>
      <c r="D162" s="20" t="s">
        <v>6</v>
      </c>
      <c r="E162" s="21">
        <f>E156+E159</f>
        <v>978.03</v>
      </c>
      <c r="F162" s="21">
        <f>F156+F159</f>
        <v>794.04896999999994</v>
      </c>
      <c r="G162" s="21" t="s">
        <v>585</v>
      </c>
      <c r="H162" s="21">
        <f>H156+H159</f>
        <v>794.04896999999994</v>
      </c>
    </row>
    <row r="163" spans="1:8" ht="24" customHeight="1" x14ac:dyDescent="0.25">
      <c r="A163" s="38">
        <v>7</v>
      </c>
      <c r="B163" s="38" t="s">
        <v>8</v>
      </c>
      <c r="C163" s="22" t="s">
        <v>21</v>
      </c>
      <c r="D163" s="23" t="s">
        <v>174</v>
      </c>
      <c r="E163" s="3">
        <f>E164+E168</f>
        <v>177.75</v>
      </c>
      <c r="F163" s="3">
        <f>F164+F168</f>
        <v>177.75</v>
      </c>
      <c r="G163" s="3" t="s">
        <v>18</v>
      </c>
      <c r="H163" s="3">
        <f>H164+H168</f>
        <v>177.75</v>
      </c>
    </row>
    <row r="164" spans="1:8" x14ac:dyDescent="0.25">
      <c r="A164" s="39"/>
      <c r="B164" s="39"/>
      <c r="C164" s="24" t="s">
        <v>16</v>
      </c>
      <c r="D164" s="25" t="s">
        <v>175</v>
      </c>
      <c r="E164" s="12">
        <f>E165</f>
        <v>139.82999999999998</v>
      </c>
      <c r="F164" s="12">
        <f>F165</f>
        <v>139.82999999999998</v>
      </c>
      <c r="G164" s="12" t="s">
        <v>18</v>
      </c>
      <c r="H164" s="12">
        <f>H165</f>
        <v>139.82999999999998</v>
      </c>
    </row>
    <row r="165" spans="1:8" ht="31.5" x14ac:dyDescent="0.25">
      <c r="A165" s="39"/>
      <c r="B165" s="39"/>
      <c r="C165" s="24" t="s">
        <v>22</v>
      </c>
      <c r="D165" s="25" t="s">
        <v>176</v>
      </c>
      <c r="E165" s="12">
        <f>E166+E167</f>
        <v>139.82999999999998</v>
      </c>
      <c r="F165" s="12">
        <f>F166+F167</f>
        <v>139.82999999999998</v>
      </c>
      <c r="G165" s="12" t="s">
        <v>18</v>
      </c>
      <c r="H165" s="12">
        <f>H166+H167</f>
        <v>139.82999999999998</v>
      </c>
    </row>
    <row r="166" spans="1:8" ht="126" x14ac:dyDescent="0.25">
      <c r="A166" s="39"/>
      <c r="B166" s="39"/>
      <c r="C166" s="24" t="s">
        <v>177</v>
      </c>
      <c r="D166" s="25" t="s">
        <v>178</v>
      </c>
      <c r="E166" s="12">
        <f>71.83</f>
        <v>71.83</v>
      </c>
      <c r="F166" s="12">
        <f>71.83</f>
        <v>71.83</v>
      </c>
      <c r="G166" s="12" t="s">
        <v>18</v>
      </c>
      <c r="H166" s="12">
        <f>71.83</f>
        <v>71.83</v>
      </c>
    </row>
    <row r="167" spans="1:8" ht="31.5" x14ac:dyDescent="0.25">
      <c r="A167" s="39"/>
      <c r="B167" s="39"/>
      <c r="C167" s="24" t="s">
        <v>179</v>
      </c>
      <c r="D167" s="25" t="s">
        <v>180</v>
      </c>
      <c r="E167" s="12">
        <f>68</f>
        <v>68</v>
      </c>
      <c r="F167" s="12">
        <f>68</f>
        <v>68</v>
      </c>
      <c r="G167" s="12" t="s">
        <v>18</v>
      </c>
      <c r="H167" s="12">
        <f>68</f>
        <v>68</v>
      </c>
    </row>
    <row r="168" spans="1:8" x14ac:dyDescent="0.25">
      <c r="A168" s="39"/>
      <c r="B168" s="39"/>
      <c r="C168" s="24" t="s">
        <v>33</v>
      </c>
      <c r="D168" s="25" t="s">
        <v>181</v>
      </c>
      <c r="E168" s="12">
        <f>E169</f>
        <v>37.92</v>
      </c>
      <c r="F168" s="12">
        <f>F169</f>
        <v>37.92</v>
      </c>
      <c r="G168" s="12" t="s">
        <v>18</v>
      </c>
      <c r="H168" s="12">
        <f>H169</f>
        <v>37.92</v>
      </c>
    </row>
    <row r="169" spans="1:8" x14ac:dyDescent="0.25">
      <c r="A169" s="39"/>
      <c r="B169" s="39"/>
      <c r="C169" s="24" t="s">
        <v>34</v>
      </c>
      <c r="D169" s="25" t="s">
        <v>182</v>
      </c>
      <c r="E169" s="12">
        <f>37.92</f>
        <v>37.92</v>
      </c>
      <c r="F169" s="12">
        <f>37.92</f>
        <v>37.92</v>
      </c>
      <c r="G169" s="12" t="s">
        <v>18</v>
      </c>
      <c r="H169" s="12">
        <f>37.92</f>
        <v>37.92</v>
      </c>
    </row>
    <row r="170" spans="1:8" x14ac:dyDescent="0.25">
      <c r="A170" s="39"/>
      <c r="B170" s="39"/>
      <c r="C170" s="22" t="s">
        <v>14</v>
      </c>
      <c r="D170" s="23" t="s">
        <v>183</v>
      </c>
      <c r="E170" s="3">
        <f>E171</f>
        <v>1009.9</v>
      </c>
      <c r="F170" s="3">
        <f>F171</f>
        <v>1009.9</v>
      </c>
      <c r="G170" s="3" t="s">
        <v>18</v>
      </c>
      <c r="H170" s="3">
        <f>H171</f>
        <v>1009.9</v>
      </c>
    </row>
    <row r="171" spans="1:8" ht="31.5" x14ac:dyDescent="0.25">
      <c r="A171" s="39"/>
      <c r="B171" s="39"/>
      <c r="C171" s="24" t="s">
        <v>16</v>
      </c>
      <c r="D171" s="25" t="s">
        <v>184</v>
      </c>
      <c r="E171" s="12">
        <f>E172</f>
        <v>1009.9</v>
      </c>
      <c r="F171" s="12">
        <f>F172</f>
        <v>1009.9</v>
      </c>
      <c r="G171" s="12" t="s">
        <v>18</v>
      </c>
      <c r="H171" s="12">
        <f>H172</f>
        <v>1009.9</v>
      </c>
    </row>
    <row r="172" spans="1:8" x14ac:dyDescent="0.25">
      <c r="A172" s="39"/>
      <c r="B172" s="39"/>
      <c r="C172" s="24" t="s">
        <v>23</v>
      </c>
      <c r="D172" s="25" t="s">
        <v>185</v>
      </c>
      <c r="E172" s="12">
        <f>1009.9</f>
        <v>1009.9</v>
      </c>
      <c r="F172" s="12">
        <f>1009.9</f>
        <v>1009.9</v>
      </c>
      <c r="G172" s="12" t="s">
        <v>18</v>
      </c>
      <c r="H172" s="12">
        <f>1009.9</f>
        <v>1009.9</v>
      </c>
    </row>
    <row r="173" spans="1:8" ht="19.5" x14ac:dyDescent="0.25">
      <c r="A173" s="40"/>
      <c r="B173" s="40"/>
      <c r="C173" s="17"/>
      <c r="D173" s="20" t="s">
        <v>6</v>
      </c>
      <c r="E173" s="21">
        <f>E163+E170</f>
        <v>1187.6500000000001</v>
      </c>
      <c r="F173" s="21">
        <f>F163+F170</f>
        <v>1187.6500000000001</v>
      </c>
      <c r="G173" s="21" t="s">
        <v>18</v>
      </c>
      <c r="H173" s="21">
        <f>H163+H170</f>
        <v>1187.6500000000001</v>
      </c>
    </row>
    <row r="174" spans="1:8" ht="60" customHeight="1" x14ac:dyDescent="0.25">
      <c r="A174" s="38">
        <v>8</v>
      </c>
      <c r="B174" s="38" t="s">
        <v>9</v>
      </c>
      <c r="C174" s="22" t="s">
        <v>21</v>
      </c>
      <c r="D174" s="23" t="s">
        <v>186</v>
      </c>
      <c r="E174" s="3">
        <f>E175+E179+E185+E190+E196+E197</f>
        <v>56326.549999999996</v>
      </c>
      <c r="F174" s="3">
        <f>F175+F179+F185+F190+F196+F197</f>
        <v>49700.649999999994</v>
      </c>
      <c r="G174" s="3" t="s">
        <v>586</v>
      </c>
      <c r="H174" s="3">
        <f>H175+H179+H185+H190+H196+H197</f>
        <v>49700.649999999994</v>
      </c>
    </row>
    <row r="175" spans="1:8" ht="47.25" x14ac:dyDescent="0.25">
      <c r="A175" s="39"/>
      <c r="B175" s="39"/>
      <c r="C175" s="24" t="s">
        <v>16</v>
      </c>
      <c r="D175" s="25" t="s">
        <v>187</v>
      </c>
      <c r="E175" s="12">
        <f>E176+E177+E178</f>
        <v>33359.06</v>
      </c>
      <c r="F175" s="12">
        <f>F176+F177+F178</f>
        <v>33238.119999999995</v>
      </c>
      <c r="G175" s="12" t="s">
        <v>361</v>
      </c>
      <c r="H175" s="12">
        <f>H176+H177+H178</f>
        <v>33238.119999999995</v>
      </c>
    </row>
    <row r="176" spans="1:8" x14ac:dyDescent="0.25">
      <c r="A176" s="39"/>
      <c r="B176" s="39"/>
      <c r="C176" s="24" t="s">
        <v>29</v>
      </c>
      <c r="D176" s="25" t="s">
        <v>188</v>
      </c>
      <c r="E176" s="12">
        <f>12024.92</f>
        <v>12024.92</v>
      </c>
      <c r="F176" s="12">
        <f>12024.92</f>
        <v>12024.92</v>
      </c>
      <c r="G176" s="12" t="s">
        <v>18</v>
      </c>
      <c r="H176" s="12">
        <f>12024.92</f>
        <v>12024.92</v>
      </c>
    </row>
    <row r="177" spans="1:8" ht="47.25" x14ac:dyDescent="0.25">
      <c r="A177" s="39"/>
      <c r="B177" s="39"/>
      <c r="C177" s="24" t="s">
        <v>30</v>
      </c>
      <c r="D177" s="25" t="s">
        <v>189</v>
      </c>
      <c r="E177" s="12">
        <f>52.25</f>
        <v>52.25</v>
      </c>
      <c r="F177" s="12">
        <f>32.42</f>
        <v>32.42</v>
      </c>
      <c r="G177" s="12" t="s">
        <v>587</v>
      </c>
      <c r="H177" s="12">
        <f>32.42</f>
        <v>32.42</v>
      </c>
    </row>
    <row r="178" spans="1:8" ht="78.75" x14ac:dyDescent="0.25">
      <c r="A178" s="39"/>
      <c r="B178" s="39"/>
      <c r="C178" s="24" t="s">
        <v>22</v>
      </c>
      <c r="D178" s="25" t="s">
        <v>190</v>
      </c>
      <c r="E178" s="12">
        <f>21281.89</f>
        <v>21281.89</v>
      </c>
      <c r="F178" s="12">
        <f>21180.78</f>
        <v>21180.78</v>
      </c>
      <c r="G178" s="12" t="s">
        <v>572</v>
      </c>
      <c r="H178" s="12">
        <f>21180.78</f>
        <v>21180.78</v>
      </c>
    </row>
    <row r="179" spans="1:8" ht="31.5" x14ac:dyDescent="0.25">
      <c r="A179" s="39"/>
      <c r="B179" s="39"/>
      <c r="C179" s="24" t="s">
        <v>13</v>
      </c>
      <c r="D179" s="25" t="s">
        <v>191</v>
      </c>
      <c r="E179" s="12">
        <f>E180+E181+E182+E183+E184</f>
        <v>1085.53</v>
      </c>
      <c r="F179" s="12">
        <f>F180+F181+F182+F183+F184</f>
        <v>1085.53</v>
      </c>
      <c r="G179" s="12" t="s">
        <v>18</v>
      </c>
      <c r="H179" s="12">
        <f>H180+H181+H182+H183+H184</f>
        <v>1085.53</v>
      </c>
    </row>
    <row r="180" spans="1:8" ht="31.5" x14ac:dyDescent="0.25">
      <c r="A180" s="39"/>
      <c r="B180" s="39"/>
      <c r="C180" s="24" t="s">
        <v>40</v>
      </c>
      <c r="D180" s="25" t="s">
        <v>192</v>
      </c>
      <c r="E180" s="12">
        <f>0</f>
        <v>0</v>
      </c>
      <c r="F180" s="12">
        <f>0</f>
        <v>0</v>
      </c>
      <c r="G180" s="12" t="s">
        <v>15</v>
      </c>
      <c r="H180" s="12">
        <f>0</f>
        <v>0</v>
      </c>
    </row>
    <row r="181" spans="1:8" x14ac:dyDescent="0.25">
      <c r="A181" s="39"/>
      <c r="B181" s="39"/>
      <c r="C181" s="24" t="s">
        <v>45</v>
      </c>
      <c r="D181" s="25" t="s">
        <v>193</v>
      </c>
      <c r="E181" s="12">
        <f>996.6</f>
        <v>996.6</v>
      </c>
      <c r="F181" s="12">
        <f>996.6</f>
        <v>996.6</v>
      </c>
      <c r="G181" s="12" t="s">
        <v>18</v>
      </c>
      <c r="H181" s="12">
        <f>996.6</f>
        <v>996.6</v>
      </c>
    </row>
    <row r="182" spans="1:8" x14ac:dyDescent="0.25">
      <c r="A182" s="39"/>
      <c r="B182" s="39"/>
      <c r="C182" s="24" t="s">
        <v>56</v>
      </c>
      <c r="D182" s="25" t="s">
        <v>194</v>
      </c>
      <c r="E182" s="12">
        <f>42.33</f>
        <v>42.33</v>
      </c>
      <c r="F182" s="12">
        <f>42.33</f>
        <v>42.33</v>
      </c>
      <c r="G182" s="12" t="s">
        <v>18</v>
      </c>
      <c r="H182" s="12">
        <f>42.33</f>
        <v>42.33</v>
      </c>
    </row>
    <row r="183" spans="1:8" ht="31.5" x14ac:dyDescent="0.25">
      <c r="A183" s="39"/>
      <c r="B183" s="39"/>
      <c r="C183" s="24" t="s">
        <v>76</v>
      </c>
      <c r="D183" s="25" t="s">
        <v>195</v>
      </c>
      <c r="E183" s="12">
        <f>46.6</f>
        <v>46.6</v>
      </c>
      <c r="F183" s="12">
        <f>46.6</f>
        <v>46.6</v>
      </c>
      <c r="G183" s="12" t="s">
        <v>18</v>
      </c>
      <c r="H183" s="12">
        <f>46.6</f>
        <v>46.6</v>
      </c>
    </row>
    <row r="184" spans="1:8" x14ac:dyDescent="0.25">
      <c r="A184" s="39"/>
      <c r="B184" s="39"/>
      <c r="C184" s="24" t="s">
        <v>92</v>
      </c>
      <c r="D184" s="25" t="s">
        <v>196</v>
      </c>
      <c r="E184" s="12">
        <f>0</f>
        <v>0</v>
      </c>
      <c r="F184" s="12">
        <f>0</f>
        <v>0</v>
      </c>
      <c r="G184" s="12" t="s">
        <v>15</v>
      </c>
      <c r="H184" s="12">
        <f>0</f>
        <v>0</v>
      </c>
    </row>
    <row r="185" spans="1:8" ht="31.5" x14ac:dyDescent="0.25">
      <c r="A185" s="39"/>
      <c r="B185" s="39"/>
      <c r="C185" s="24" t="s">
        <v>33</v>
      </c>
      <c r="D185" s="25" t="s">
        <v>197</v>
      </c>
      <c r="E185" s="12">
        <f>E186+E187+E188+E189</f>
        <v>28.87</v>
      </c>
      <c r="F185" s="12">
        <f>F186+F187+F188+F189</f>
        <v>28.87</v>
      </c>
      <c r="G185" s="12" t="s">
        <v>18</v>
      </c>
      <c r="H185" s="12">
        <f>H186+H187+H188+H189</f>
        <v>28.87</v>
      </c>
    </row>
    <row r="186" spans="1:8" ht="47.25" x14ac:dyDescent="0.25">
      <c r="A186" s="39"/>
      <c r="B186" s="39"/>
      <c r="C186" s="24" t="s">
        <v>34</v>
      </c>
      <c r="D186" s="25" t="s">
        <v>198</v>
      </c>
      <c r="E186" s="12">
        <f>0</f>
        <v>0</v>
      </c>
      <c r="F186" s="12">
        <f>0</f>
        <v>0</v>
      </c>
      <c r="G186" s="12" t="s">
        <v>15</v>
      </c>
      <c r="H186" s="12">
        <f>0</f>
        <v>0</v>
      </c>
    </row>
    <row r="187" spans="1:8" x14ac:dyDescent="0.25">
      <c r="A187" s="39"/>
      <c r="B187" s="39"/>
      <c r="C187" s="24" t="s">
        <v>35</v>
      </c>
      <c r="D187" s="25" t="s">
        <v>199</v>
      </c>
      <c r="E187" s="12">
        <f>10</f>
        <v>10</v>
      </c>
      <c r="F187" s="12">
        <f>10</f>
        <v>10</v>
      </c>
      <c r="G187" s="12" t="s">
        <v>18</v>
      </c>
      <c r="H187" s="12">
        <f>10</f>
        <v>10</v>
      </c>
    </row>
    <row r="188" spans="1:8" ht="78.75" x14ac:dyDescent="0.25">
      <c r="A188" s="39"/>
      <c r="B188" s="39"/>
      <c r="C188" s="24" t="s">
        <v>41</v>
      </c>
      <c r="D188" s="25" t="s">
        <v>200</v>
      </c>
      <c r="E188" s="12">
        <f>0</f>
        <v>0</v>
      </c>
      <c r="F188" s="12">
        <f>0</f>
        <v>0</v>
      </c>
      <c r="G188" s="12" t="s">
        <v>15</v>
      </c>
      <c r="H188" s="12">
        <f>0</f>
        <v>0</v>
      </c>
    </row>
    <row r="189" spans="1:8" ht="63" x14ac:dyDescent="0.25">
      <c r="A189" s="39"/>
      <c r="B189" s="39"/>
      <c r="C189" s="24" t="s">
        <v>98</v>
      </c>
      <c r="D189" s="25" t="s">
        <v>201</v>
      </c>
      <c r="E189" s="12">
        <f>18.87</f>
        <v>18.87</v>
      </c>
      <c r="F189" s="12">
        <f>18.87</f>
        <v>18.87</v>
      </c>
      <c r="G189" s="12" t="s">
        <v>18</v>
      </c>
      <c r="H189" s="12">
        <f>18.87</f>
        <v>18.87</v>
      </c>
    </row>
    <row r="190" spans="1:8" ht="47.25" x14ac:dyDescent="0.25">
      <c r="A190" s="39"/>
      <c r="B190" s="39"/>
      <c r="C190" s="24" t="s">
        <v>36</v>
      </c>
      <c r="D190" s="25" t="s">
        <v>202</v>
      </c>
      <c r="E190" s="12">
        <f>E191+E192+E193+E194+E195</f>
        <v>20854.78</v>
      </c>
      <c r="F190" s="12">
        <f>F191+F192+F193+F194+F195</f>
        <v>14352.13</v>
      </c>
      <c r="G190" s="12" t="s">
        <v>588</v>
      </c>
      <c r="H190" s="12">
        <f>H191+H192+H193+H194+H195</f>
        <v>14352.13</v>
      </c>
    </row>
    <row r="191" spans="1:8" ht="63" x14ac:dyDescent="0.25">
      <c r="A191" s="39"/>
      <c r="B191" s="39"/>
      <c r="C191" s="24" t="s">
        <v>37</v>
      </c>
      <c r="D191" s="25" t="s">
        <v>589</v>
      </c>
      <c r="E191" s="12">
        <f>0</f>
        <v>0</v>
      </c>
      <c r="F191" s="12">
        <f>0</f>
        <v>0</v>
      </c>
      <c r="G191" s="12" t="s">
        <v>15</v>
      </c>
      <c r="H191" s="12">
        <f>0</f>
        <v>0</v>
      </c>
    </row>
    <row r="192" spans="1:8" ht="63" x14ac:dyDescent="0.25">
      <c r="A192" s="39"/>
      <c r="B192" s="39"/>
      <c r="C192" s="24" t="s">
        <v>109</v>
      </c>
      <c r="D192" s="25" t="s">
        <v>590</v>
      </c>
      <c r="E192" s="12">
        <f>0</f>
        <v>0</v>
      </c>
      <c r="F192" s="12">
        <f>0</f>
        <v>0</v>
      </c>
      <c r="G192" s="12" t="s">
        <v>15</v>
      </c>
      <c r="H192" s="12">
        <f>0</f>
        <v>0</v>
      </c>
    </row>
    <row r="193" spans="1:8" ht="31.5" x14ac:dyDescent="0.25">
      <c r="A193" s="39"/>
      <c r="B193" s="39"/>
      <c r="C193" s="24" t="s">
        <v>48</v>
      </c>
      <c r="D193" s="25" t="s">
        <v>203</v>
      </c>
      <c r="E193" s="12">
        <f>20854.78</f>
        <v>20854.78</v>
      </c>
      <c r="F193" s="12">
        <f>14352.13</f>
        <v>14352.13</v>
      </c>
      <c r="G193" s="12" t="s">
        <v>588</v>
      </c>
      <c r="H193" s="12">
        <f>14352.13</f>
        <v>14352.13</v>
      </c>
    </row>
    <row r="194" spans="1:8" ht="31.5" x14ac:dyDescent="0.25">
      <c r="A194" s="39"/>
      <c r="B194" s="39"/>
      <c r="C194" s="24" t="s">
        <v>204</v>
      </c>
      <c r="D194" s="25" t="s">
        <v>205</v>
      </c>
      <c r="E194" s="12">
        <f>0</f>
        <v>0</v>
      </c>
      <c r="F194" s="12">
        <f>0</f>
        <v>0</v>
      </c>
      <c r="G194" s="12" t="s">
        <v>15</v>
      </c>
      <c r="H194" s="12">
        <f>0</f>
        <v>0</v>
      </c>
    </row>
    <row r="195" spans="1:8" ht="47.25" x14ac:dyDescent="0.25">
      <c r="A195" s="39"/>
      <c r="B195" s="39"/>
      <c r="C195" s="24" t="s">
        <v>591</v>
      </c>
      <c r="D195" s="25" t="s">
        <v>592</v>
      </c>
      <c r="E195" s="12">
        <f>0</f>
        <v>0</v>
      </c>
      <c r="F195" s="12">
        <f>0</f>
        <v>0</v>
      </c>
      <c r="G195" s="12" t="s">
        <v>15</v>
      </c>
      <c r="H195" s="12">
        <f>0</f>
        <v>0</v>
      </c>
    </row>
    <row r="196" spans="1:8" ht="94.5" x14ac:dyDescent="0.25">
      <c r="A196" s="39"/>
      <c r="B196" s="39"/>
      <c r="C196" s="24" t="s">
        <v>38</v>
      </c>
      <c r="D196" s="25" t="s">
        <v>206</v>
      </c>
      <c r="E196" s="12">
        <f>0</f>
        <v>0</v>
      </c>
      <c r="F196" s="12">
        <f>0</f>
        <v>0</v>
      </c>
      <c r="G196" s="12" t="s">
        <v>15</v>
      </c>
      <c r="H196" s="12">
        <f>0</f>
        <v>0</v>
      </c>
    </row>
    <row r="197" spans="1:8" x14ac:dyDescent="0.25">
      <c r="A197" s="39"/>
      <c r="B197" s="39"/>
      <c r="C197" s="24" t="s">
        <v>51</v>
      </c>
      <c r="D197" s="25" t="s">
        <v>210</v>
      </c>
      <c r="E197" s="12">
        <f>E198+E199+E200+E201</f>
        <v>998.31</v>
      </c>
      <c r="F197" s="12">
        <f>F198+F199+F200+F201</f>
        <v>996</v>
      </c>
      <c r="G197" s="12" t="s">
        <v>541</v>
      </c>
      <c r="H197" s="12">
        <f>H198+H199+H200+H201</f>
        <v>996</v>
      </c>
    </row>
    <row r="198" spans="1:8" ht="47.25" x14ac:dyDescent="0.25">
      <c r="A198" s="39"/>
      <c r="B198" s="39"/>
      <c r="C198" s="24" t="s">
        <v>53</v>
      </c>
      <c r="D198" s="25" t="s">
        <v>211</v>
      </c>
      <c r="E198" s="12">
        <f>910</f>
        <v>910</v>
      </c>
      <c r="F198" s="12">
        <f>907.69</f>
        <v>907.69</v>
      </c>
      <c r="G198" s="12" t="s">
        <v>554</v>
      </c>
      <c r="H198" s="12">
        <f>907.69</f>
        <v>907.69</v>
      </c>
    </row>
    <row r="199" spans="1:8" ht="47.25" x14ac:dyDescent="0.25">
      <c r="A199" s="39"/>
      <c r="B199" s="39"/>
      <c r="C199" s="24" t="s">
        <v>54</v>
      </c>
      <c r="D199" s="25" t="s">
        <v>212</v>
      </c>
      <c r="E199" s="12">
        <f>88.31</f>
        <v>88.31</v>
      </c>
      <c r="F199" s="12">
        <f>88.31</f>
        <v>88.31</v>
      </c>
      <c r="G199" s="12" t="s">
        <v>18</v>
      </c>
      <c r="H199" s="12">
        <f>88.31</f>
        <v>88.31</v>
      </c>
    </row>
    <row r="200" spans="1:8" ht="31.5" x14ac:dyDescent="0.25">
      <c r="A200" s="39"/>
      <c r="B200" s="39"/>
      <c r="C200" s="24" t="s">
        <v>593</v>
      </c>
      <c r="D200" s="25" t="s">
        <v>594</v>
      </c>
      <c r="E200" s="12">
        <f>0</f>
        <v>0</v>
      </c>
      <c r="F200" s="12">
        <f>0</f>
        <v>0</v>
      </c>
      <c r="G200" s="12" t="s">
        <v>15</v>
      </c>
      <c r="H200" s="12">
        <f>0</f>
        <v>0</v>
      </c>
    </row>
    <row r="201" spans="1:8" ht="31.5" x14ac:dyDescent="0.25">
      <c r="A201" s="39"/>
      <c r="B201" s="39"/>
      <c r="C201" s="24" t="s">
        <v>213</v>
      </c>
      <c r="D201" s="25" t="s">
        <v>214</v>
      </c>
      <c r="E201" s="12">
        <f>0</f>
        <v>0</v>
      </c>
      <c r="F201" s="12">
        <f>0</f>
        <v>0</v>
      </c>
      <c r="G201" s="12" t="s">
        <v>15</v>
      </c>
      <c r="H201" s="12">
        <f>0</f>
        <v>0</v>
      </c>
    </row>
    <row r="202" spans="1:8" ht="31.5" x14ac:dyDescent="0.25">
      <c r="A202" s="39"/>
      <c r="B202" s="39"/>
      <c r="C202" s="22" t="s">
        <v>28</v>
      </c>
      <c r="D202" s="23" t="s">
        <v>335</v>
      </c>
      <c r="E202" s="3">
        <f>E203+E206+E207+E212+E213</f>
        <v>1153.19</v>
      </c>
      <c r="F202" s="3">
        <f>F203+F206+F207+F212+F213</f>
        <v>1153.19</v>
      </c>
      <c r="G202" s="3" t="s">
        <v>18</v>
      </c>
      <c r="H202" s="3">
        <f>H203+H206+H207+H212+H213</f>
        <v>1153.19</v>
      </c>
    </row>
    <row r="203" spans="1:8" x14ac:dyDescent="0.25">
      <c r="A203" s="39"/>
      <c r="B203" s="39"/>
      <c r="C203" s="24" t="s">
        <v>16</v>
      </c>
      <c r="D203" s="25" t="s">
        <v>336</v>
      </c>
      <c r="E203" s="12">
        <f>E204+E205</f>
        <v>947.99</v>
      </c>
      <c r="F203" s="12">
        <f>F204+F205</f>
        <v>947.99</v>
      </c>
      <c r="G203" s="12" t="s">
        <v>18</v>
      </c>
      <c r="H203" s="12">
        <f>H204+H205</f>
        <v>947.99</v>
      </c>
    </row>
    <row r="204" spans="1:8" x14ac:dyDescent="0.25">
      <c r="A204" s="39"/>
      <c r="B204" s="39"/>
      <c r="C204" s="24" t="s">
        <v>29</v>
      </c>
      <c r="D204" s="25" t="s">
        <v>337</v>
      </c>
      <c r="E204" s="12">
        <f>120.99</f>
        <v>120.99</v>
      </c>
      <c r="F204" s="12">
        <f>120.99</f>
        <v>120.99</v>
      </c>
      <c r="G204" s="12" t="s">
        <v>18</v>
      </c>
      <c r="H204" s="12">
        <f>120.99</f>
        <v>120.99</v>
      </c>
    </row>
    <row r="205" spans="1:8" x14ac:dyDescent="0.25">
      <c r="A205" s="39"/>
      <c r="B205" s="39"/>
      <c r="C205" s="24" t="s">
        <v>30</v>
      </c>
      <c r="D205" s="25" t="s">
        <v>215</v>
      </c>
      <c r="E205" s="12">
        <f>827</f>
        <v>827</v>
      </c>
      <c r="F205" s="12">
        <f>827</f>
        <v>827</v>
      </c>
      <c r="G205" s="12" t="s">
        <v>18</v>
      </c>
      <c r="H205" s="12">
        <f>827</f>
        <v>827</v>
      </c>
    </row>
    <row r="206" spans="1:8" ht="47.25" x14ac:dyDescent="0.25">
      <c r="A206" s="39"/>
      <c r="B206" s="39"/>
      <c r="C206" s="24" t="s">
        <v>13</v>
      </c>
      <c r="D206" s="25" t="s">
        <v>216</v>
      </c>
      <c r="E206" s="12">
        <f>0</f>
        <v>0</v>
      </c>
      <c r="F206" s="12">
        <f>0</f>
        <v>0</v>
      </c>
      <c r="G206" s="12" t="s">
        <v>15</v>
      </c>
      <c r="H206" s="12">
        <f>0</f>
        <v>0</v>
      </c>
    </row>
    <row r="207" spans="1:8" ht="63" x14ac:dyDescent="0.25">
      <c r="A207" s="39"/>
      <c r="B207" s="39"/>
      <c r="C207" s="24" t="s">
        <v>33</v>
      </c>
      <c r="D207" s="25" t="s">
        <v>338</v>
      </c>
      <c r="E207" s="12">
        <f>E208+E209+E210+E211</f>
        <v>205.2</v>
      </c>
      <c r="F207" s="12">
        <f>F208+F209+F210+F211</f>
        <v>205.2</v>
      </c>
      <c r="G207" s="12" t="s">
        <v>18</v>
      </c>
      <c r="H207" s="12">
        <f>H208+H209+H210+H211</f>
        <v>205.2</v>
      </c>
    </row>
    <row r="208" spans="1:8" ht="31.5" x14ac:dyDescent="0.25">
      <c r="A208" s="39"/>
      <c r="B208" s="39"/>
      <c r="C208" s="24" t="s">
        <v>34</v>
      </c>
      <c r="D208" s="25" t="s">
        <v>217</v>
      </c>
      <c r="E208" s="12">
        <f>5.2</f>
        <v>5.2</v>
      </c>
      <c r="F208" s="12">
        <f>5.2</f>
        <v>5.2</v>
      </c>
      <c r="G208" s="12" t="s">
        <v>18</v>
      </c>
      <c r="H208" s="12">
        <f>5.2</f>
        <v>5.2</v>
      </c>
    </row>
    <row r="209" spans="1:8" ht="47.25" x14ac:dyDescent="0.25">
      <c r="A209" s="39"/>
      <c r="B209" s="39"/>
      <c r="C209" s="24" t="s">
        <v>35</v>
      </c>
      <c r="D209" s="25" t="s">
        <v>218</v>
      </c>
      <c r="E209" s="12">
        <f>60</f>
        <v>60</v>
      </c>
      <c r="F209" s="12">
        <f>60</f>
        <v>60</v>
      </c>
      <c r="G209" s="12" t="s">
        <v>18</v>
      </c>
      <c r="H209" s="12">
        <f>60</f>
        <v>60</v>
      </c>
    </row>
    <row r="210" spans="1:8" ht="31.5" x14ac:dyDescent="0.25">
      <c r="A210" s="39"/>
      <c r="B210" s="39"/>
      <c r="C210" s="24" t="s">
        <v>41</v>
      </c>
      <c r="D210" s="25" t="s">
        <v>339</v>
      </c>
      <c r="E210" s="12">
        <f>0</f>
        <v>0</v>
      </c>
      <c r="F210" s="12">
        <f>0</f>
        <v>0</v>
      </c>
      <c r="G210" s="12" t="s">
        <v>15</v>
      </c>
      <c r="H210" s="12">
        <f>0</f>
        <v>0</v>
      </c>
    </row>
    <row r="211" spans="1:8" ht="47.25" x14ac:dyDescent="0.25">
      <c r="A211" s="39"/>
      <c r="B211" s="39"/>
      <c r="C211" s="24" t="s">
        <v>98</v>
      </c>
      <c r="D211" s="25" t="s">
        <v>219</v>
      </c>
      <c r="E211" s="12">
        <f>140</f>
        <v>140</v>
      </c>
      <c r="F211" s="12">
        <f>140</f>
        <v>140</v>
      </c>
      <c r="G211" s="12" t="s">
        <v>18</v>
      </c>
      <c r="H211" s="12">
        <f>140</f>
        <v>140</v>
      </c>
    </row>
    <row r="212" spans="1:8" ht="31.5" x14ac:dyDescent="0.25">
      <c r="A212" s="39"/>
      <c r="B212" s="39"/>
      <c r="C212" s="24" t="s">
        <v>36</v>
      </c>
      <c r="D212" s="25" t="s">
        <v>595</v>
      </c>
      <c r="E212" s="12">
        <f>0</f>
        <v>0</v>
      </c>
      <c r="F212" s="12">
        <f>0</f>
        <v>0</v>
      </c>
      <c r="G212" s="12" t="s">
        <v>15</v>
      </c>
      <c r="H212" s="12">
        <f>0</f>
        <v>0</v>
      </c>
    </row>
    <row r="213" spans="1:8" ht="31.5" x14ac:dyDescent="0.25">
      <c r="A213" s="39"/>
      <c r="B213" s="39"/>
      <c r="C213" s="24" t="s">
        <v>38</v>
      </c>
      <c r="D213" s="25" t="s">
        <v>220</v>
      </c>
      <c r="E213" s="12">
        <f>0</f>
        <v>0</v>
      </c>
      <c r="F213" s="12">
        <f>0</f>
        <v>0</v>
      </c>
      <c r="G213" s="12" t="s">
        <v>15</v>
      </c>
      <c r="H213" s="12">
        <f>0</f>
        <v>0</v>
      </c>
    </row>
    <row r="214" spans="1:8" ht="31.5" x14ac:dyDescent="0.25">
      <c r="A214" s="39"/>
      <c r="B214" s="39"/>
      <c r="C214" s="22" t="s">
        <v>17</v>
      </c>
      <c r="D214" s="23" t="s">
        <v>221</v>
      </c>
      <c r="E214" s="3">
        <f>E215+E218+E219</f>
        <v>4568.16</v>
      </c>
      <c r="F214" s="3">
        <f>F215+F218+F219</f>
        <v>4568.16</v>
      </c>
      <c r="G214" s="3" t="s">
        <v>18</v>
      </c>
      <c r="H214" s="3">
        <f>H215+H218+H219</f>
        <v>4568.16</v>
      </c>
    </row>
    <row r="215" spans="1:8" ht="78.75" x14ac:dyDescent="0.25">
      <c r="A215" s="39"/>
      <c r="B215" s="39"/>
      <c r="C215" s="24" t="s">
        <v>16</v>
      </c>
      <c r="D215" s="25" t="s">
        <v>222</v>
      </c>
      <c r="E215" s="12">
        <f>E216+E217</f>
        <v>3483.45</v>
      </c>
      <c r="F215" s="12">
        <f>F216+F217</f>
        <v>3483.45</v>
      </c>
      <c r="G215" s="12" t="s">
        <v>18</v>
      </c>
      <c r="H215" s="12">
        <f>H216+H217</f>
        <v>3483.45</v>
      </c>
    </row>
    <row r="216" spans="1:8" x14ac:dyDescent="0.25">
      <c r="A216" s="39"/>
      <c r="B216" s="39"/>
      <c r="C216" s="24" t="s">
        <v>29</v>
      </c>
      <c r="D216" s="25" t="s">
        <v>340</v>
      </c>
      <c r="E216" s="12">
        <f>1425.6</f>
        <v>1425.6</v>
      </c>
      <c r="F216" s="12">
        <f>1425.6</f>
        <v>1425.6</v>
      </c>
      <c r="G216" s="12" t="s">
        <v>18</v>
      </c>
      <c r="H216" s="12">
        <f>1425.6</f>
        <v>1425.6</v>
      </c>
    </row>
    <row r="217" spans="1:8" x14ac:dyDescent="0.25">
      <c r="A217" s="39"/>
      <c r="B217" s="39"/>
      <c r="C217" s="24" t="s">
        <v>30</v>
      </c>
      <c r="D217" s="25" t="s">
        <v>341</v>
      </c>
      <c r="E217" s="12">
        <f>2057.85</f>
        <v>2057.85</v>
      </c>
      <c r="F217" s="12">
        <f>2057.85</f>
        <v>2057.85</v>
      </c>
      <c r="G217" s="12" t="s">
        <v>18</v>
      </c>
      <c r="H217" s="12">
        <f>2057.85</f>
        <v>2057.85</v>
      </c>
    </row>
    <row r="218" spans="1:8" ht="47.25" x14ac:dyDescent="0.25">
      <c r="A218" s="39"/>
      <c r="B218" s="39"/>
      <c r="C218" s="24" t="s">
        <v>13</v>
      </c>
      <c r="D218" s="25" t="s">
        <v>223</v>
      </c>
      <c r="E218" s="12">
        <f>0</f>
        <v>0</v>
      </c>
      <c r="F218" s="12">
        <f>0</f>
        <v>0</v>
      </c>
      <c r="G218" s="12" t="s">
        <v>15</v>
      </c>
      <c r="H218" s="12">
        <f>0</f>
        <v>0</v>
      </c>
    </row>
    <row r="219" spans="1:8" ht="47.25" x14ac:dyDescent="0.25">
      <c r="A219" s="39"/>
      <c r="B219" s="39"/>
      <c r="C219" s="24" t="s">
        <v>33</v>
      </c>
      <c r="D219" s="25" t="s">
        <v>224</v>
      </c>
      <c r="E219" s="12">
        <f>E220+E221+E222+E223+E224</f>
        <v>1084.71</v>
      </c>
      <c r="F219" s="12">
        <f>F220+F221+F222+F223+F224</f>
        <v>1084.71</v>
      </c>
      <c r="G219" s="12" t="s">
        <v>18</v>
      </c>
      <c r="H219" s="12">
        <f>H220+H221+H222+H223+H224</f>
        <v>1084.71</v>
      </c>
    </row>
    <row r="220" spans="1:8" x14ac:dyDescent="0.25">
      <c r="A220" s="39"/>
      <c r="B220" s="39"/>
      <c r="C220" s="24" t="s">
        <v>34</v>
      </c>
      <c r="D220" s="25" t="s">
        <v>225</v>
      </c>
      <c r="E220" s="12">
        <f>1084.71</f>
        <v>1084.71</v>
      </c>
      <c r="F220" s="12">
        <f>1084.71</f>
        <v>1084.71</v>
      </c>
      <c r="G220" s="12" t="s">
        <v>18</v>
      </c>
      <c r="H220" s="12">
        <f>1084.71</f>
        <v>1084.71</v>
      </c>
    </row>
    <row r="221" spans="1:8" x14ac:dyDescent="0.25">
      <c r="A221" s="39"/>
      <c r="B221" s="39"/>
      <c r="C221" s="24" t="s">
        <v>35</v>
      </c>
      <c r="D221" s="25" t="s">
        <v>226</v>
      </c>
      <c r="E221" s="12">
        <f>0</f>
        <v>0</v>
      </c>
      <c r="F221" s="12">
        <f>0</f>
        <v>0</v>
      </c>
      <c r="G221" s="12" t="s">
        <v>15</v>
      </c>
      <c r="H221" s="12">
        <f>0</f>
        <v>0</v>
      </c>
    </row>
    <row r="222" spans="1:8" x14ac:dyDescent="0.25">
      <c r="A222" s="39"/>
      <c r="B222" s="39"/>
      <c r="C222" s="24" t="s">
        <v>41</v>
      </c>
      <c r="D222" s="25" t="s">
        <v>227</v>
      </c>
      <c r="E222" s="12">
        <f>0</f>
        <v>0</v>
      </c>
      <c r="F222" s="12">
        <f>0</f>
        <v>0</v>
      </c>
      <c r="G222" s="12" t="s">
        <v>15</v>
      </c>
      <c r="H222" s="12">
        <f>0</f>
        <v>0</v>
      </c>
    </row>
    <row r="223" spans="1:8" x14ac:dyDescent="0.25">
      <c r="A223" s="39"/>
      <c r="B223" s="39"/>
      <c r="C223" s="24" t="s">
        <v>98</v>
      </c>
      <c r="D223" s="25" t="s">
        <v>228</v>
      </c>
      <c r="E223" s="12">
        <f>0</f>
        <v>0</v>
      </c>
      <c r="F223" s="12">
        <f>0</f>
        <v>0</v>
      </c>
      <c r="G223" s="12" t="s">
        <v>15</v>
      </c>
      <c r="H223" s="12">
        <f>0</f>
        <v>0</v>
      </c>
    </row>
    <row r="224" spans="1:8" ht="31.5" x14ac:dyDescent="0.25">
      <c r="A224" s="39"/>
      <c r="B224" s="39"/>
      <c r="C224" s="24" t="s">
        <v>229</v>
      </c>
      <c r="D224" s="25" t="s">
        <v>230</v>
      </c>
      <c r="E224" s="12">
        <f>0</f>
        <v>0</v>
      </c>
      <c r="F224" s="12">
        <f>0</f>
        <v>0</v>
      </c>
      <c r="G224" s="12" t="s">
        <v>15</v>
      </c>
      <c r="H224" s="12">
        <f>0</f>
        <v>0</v>
      </c>
    </row>
    <row r="225" spans="1:8" ht="31.5" x14ac:dyDescent="0.25">
      <c r="A225" s="39"/>
      <c r="B225" s="39"/>
      <c r="C225" s="22" t="s">
        <v>44</v>
      </c>
      <c r="D225" s="23" t="s">
        <v>231</v>
      </c>
      <c r="E225" s="3">
        <f>E226</f>
        <v>1807.5100000000002</v>
      </c>
      <c r="F225" s="3">
        <f>F226</f>
        <v>1731.51</v>
      </c>
      <c r="G225" s="3" t="s">
        <v>596</v>
      </c>
      <c r="H225" s="3">
        <f>H226</f>
        <v>1731.51</v>
      </c>
    </row>
    <row r="226" spans="1:8" ht="31.5" x14ac:dyDescent="0.25">
      <c r="A226" s="39"/>
      <c r="B226" s="39"/>
      <c r="C226" s="24" t="s">
        <v>16</v>
      </c>
      <c r="D226" s="25" t="s">
        <v>232</v>
      </c>
      <c r="E226" s="12">
        <f>E227+E228+E229+E230+E231+E232+E233+E234+E235+E236+E237</f>
        <v>1807.5100000000002</v>
      </c>
      <c r="F226" s="12">
        <f>F227+F228+F229+F230+F231+F232+F233+F234+F235+F236+F237</f>
        <v>1731.51</v>
      </c>
      <c r="G226" s="12" t="s">
        <v>596</v>
      </c>
      <c r="H226" s="12">
        <f>H227+H228+H229+H230+H231+H232+H233+H234+H235+H236+H237</f>
        <v>1731.51</v>
      </c>
    </row>
    <row r="227" spans="1:8" ht="31.5" x14ac:dyDescent="0.25">
      <c r="A227" s="39"/>
      <c r="B227" s="39"/>
      <c r="C227" s="24" t="s">
        <v>29</v>
      </c>
      <c r="D227" s="25" t="s">
        <v>233</v>
      </c>
      <c r="E227" s="12">
        <f>0</f>
        <v>0</v>
      </c>
      <c r="F227" s="12">
        <f>0</f>
        <v>0</v>
      </c>
      <c r="G227" s="12" t="s">
        <v>15</v>
      </c>
      <c r="H227" s="12">
        <f>0</f>
        <v>0</v>
      </c>
    </row>
    <row r="228" spans="1:8" ht="31.5" x14ac:dyDescent="0.25">
      <c r="A228" s="39"/>
      <c r="B228" s="39"/>
      <c r="C228" s="24" t="s">
        <v>30</v>
      </c>
      <c r="D228" s="25" t="s">
        <v>234</v>
      </c>
      <c r="E228" s="12">
        <f>94.37</f>
        <v>94.37</v>
      </c>
      <c r="F228" s="12">
        <f>18.37</f>
        <v>18.37</v>
      </c>
      <c r="G228" s="12" t="s">
        <v>597</v>
      </c>
      <c r="H228" s="12">
        <f>18.37</f>
        <v>18.37</v>
      </c>
    </row>
    <row r="229" spans="1:8" ht="63" x14ac:dyDescent="0.25">
      <c r="A229" s="39"/>
      <c r="B229" s="39"/>
      <c r="C229" s="24" t="s">
        <v>22</v>
      </c>
      <c r="D229" s="25" t="s">
        <v>235</v>
      </c>
      <c r="E229" s="12">
        <f>0</f>
        <v>0</v>
      </c>
      <c r="F229" s="12">
        <f>0</f>
        <v>0</v>
      </c>
      <c r="G229" s="12" t="s">
        <v>15</v>
      </c>
      <c r="H229" s="12">
        <f>0</f>
        <v>0</v>
      </c>
    </row>
    <row r="230" spans="1:8" ht="47.25" x14ac:dyDescent="0.25">
      <c r="A230" s="39"/>
      <c r="B230" s="39"/>
      <c r="C230" s="24" t="s">
        <v>23</v>
      </c>
      <c r="D230" s="25" t="s">
        <v>236</v>
      </c>
      <c r="E230" s="12">
        <f>0</f>
        <v>0</v>
      </c>
      <c r="F230" s="12">
        <f>0</f>
        <v>0</v>
      </c>
      <c r="G230" s="12" t="s">
        <v>15</v>
      </c>
      <c r="H230" s="12">
        <f>0</f>
        <v>0</v>
      </c>
    </row>
    <row r="231" spans="1:8" ht="47.25" x14ac:dyDescent="0.25">
      <c r="A231" s="39"/>
      <c r="B231" s="39"/>
      <c r="C231" s="24" t="s">
        <v>39</v>
      </c>
      <c r="D231" s="25" t="s">
        <v>237</v>
      </c>
      <c r="E231" s="12">
        <f>1592.74</f>
        <v>1592.74</v>
      </c>
      <c r="F231" s="12">
        <f>1592.74</f>
        <v>1592.74</v>
      </c>
      <c r="G231" s="12" t="s">
        <v>18</v>
      </c>
      <c r="H231" s="12">
        <f>1592.74</f>
        <v>1592.74</v>
      </c>
    </row>
    <row r="232" spans="1:8" x14ac:dyDescent="0.25">
      <c r="A232" s="39"/>
      <c r="B232" s="39"/>
      <c r="C232" s="24" t="s">
        <v>49</v>
      </c>
      <c r="D232" s="25" t="s">
        <v>238</v>
      </c>
      <c r="E232" s="12">
        <f>0</f>
        <v>0</v>
      </c>
      <c r="F232" s="12">
        <f>0</f>
        <v>0</v>
      </c>
      <c r="G232" s="12" t="s">
        <v>15</v>
      </c>
      <c r="H232" s="12">
        <f>0</f>
        <v>0</v>
      </c>
    </row>
    <row r="233" spans="1:8" ht="31.5" x14ac:dyDescent="0.25">
      <c r="A233" s="39"/>
      <c r="B233" s="39"/>
      <c r="C233" s="24" t="s">
        <v>50</v>
      </c>
      <c r="D233" s="25" t="s">
        <v>239</v>
      </c>
      <c r="E233" s="12">
        <f>10</f>
        <v>10</v>
      </c>
      <c r="F233" s="12">
        <f>10</f>
        <v>10</v>
      </c>
      <c r="G233" s="12" t="s">
        <v>18</v>
      </c>
      <c r="H233" s="12">
        <f>10</f>
        <v>10</v>
      </c>
    </row>
    <row r="234" spans="1:8" ht="31.5" x14ac:dyDescent="0.25">
      <c r="A234" s="39"/>
      <c r="B234" s="39"/>
      <c r="C234" s="24" t="s">
        <v>58</v>
      </c>
      <c r="D234" s="25" t="s">
        <v>240</v>
      </c>
      <c r="E234" s="12">
        <f>20</f>
        <v>20</v>
      </c>
      <c r="F234" s="12">
        <f>20</f>
        <v>20</v>
      </c>
      <c r="G234" s="12" t="s">
        <v>18</v>
      </c>
      <c r="H234" s="12">
        <f>20</f>
        <v>20</v>
      </c>
    </row>
    <row r="235" spans="1:8" ht="31.5" x14ac:dyDescent="0.25">
      <c r="A235" s="39"/>
      <c r="B235" s="39"/>
      <c r="C235" s="24" t="s">
        <v>59</v>
      </c>
      <c r="D235" s="25" t="s">
        <v>241</v>
      </c>
      <c r="E235" s="12">
        <f>90.4</f>
        <v>90.4</v>
      </c>
      <c r="F235" s="12">
        <f>90.4</f>
        <v>90.4</v>
      </c>
      <c r="G235" s="12" t="s">
        <v>18</v>
      </c>
      <c r="H235" s="12">
        <f>90.4</f>
        <v>90.4</v>
      </c>
    </row>
    <row r="236" spans="1:8" ht="31.5" x14ac:dyDescent="0.25">
      <c r="A236" s="39"/>
      <c r="B236" s="39"/>
      <c r="C236" s="24" t="s">
        <v>25</v>
      </c>
      <c r="D236" s="25" t="s">
        <v>242</v>
      </c>
      <c r="E236" s="12">
        <f>0</f>
        <v>0</v>
      </c>
      <c r="F236" s="12">
        <f>0</f>
        <v>0</v>
      </c>
      <c r="G236" s="12" t="s">
        <v>15</v>
      </c>
      <c r="H236" s="12">
        <f>0</f>
        <v>0</v>
      </c>
    </row>
    <row r="237" spans="1:8" ht="63" x14ac:dyDescent="0.25">
      <c r="A237" s="39"/>
      <c r="B237" s="39"/>
      <c r="C237" s="24" t="s">
        <v>243</v>
      </c>
      <c r="D237" s="25" t="s">
        <v>244</v>
      </c>
      <c r="E237" s="12">
        <f>0</f>
        <v>0</v>
      </c>
      <c r="F237" s="12">
        <f>0</f>
        <v>0</v>
      </c>
      <c r="G237" s="12" t="s">
        <v>15</v>
      </c>
      <c r="H237" s="12">
        <f>0</f>
        <v>0</v>
      </c>
    </row>
    <row r="238" spans="1:8" ht="47.25" x14ac:dyDescent="0.25">
      <c r="A238" s="39"/>
      <c r="B238" s="39"/>
      <c r="C238" s="22" t="s">
        <v>14</v>
      </c>
      <c r="D238" s="23" t="s">
        <v>245</v>
      </c>
      <c r="E238" s="3">
        <f>E239</f>
        <v>57.76</v>
      </c>
      <c r="F238" s="3">
        <f>F239</f>
        <v>57.76</v>
      </c>
      <c r="G238" s="3" t="s">
        <v>18</v>
      </c>
      <c r="H238" s="3">
        <f>H239</f>
        <v>57.76</v>
      </c>
    </row>
    <row r="239" spans="1:8" ht="31.5" x14ac:dyDescent="0.25">
      <c r="A239" s="39"/>
      <c r="B239" s="39"/>
      <c r="C239" s="24" t="s">
        <v>16</v>
      </c>
      <c r="D239" s="25" t="s">
        <v>246</v>
      </c>
      <c r="E239" s="12">
        <f>E240+E241+E242</f>
        <v>57.76</v>
      </c>
      <c r="F239" s="12">
        <f>F240+F241+F242</f>
        <v>57.76</v>
      </c>
      <c r="G239" s="12" t="s">
        <v>18</v>
      </c>
      <c r="H239" s="12">
        <f>H240+H241+H242</f>
        <v>57.76</v>
      </c>
    </row>
    <row r="240" spans="1:8" ht="47.25" x14ac:dyDescent="0.25">
      <c r="A240" s="39"/>
      <c r="B240" s="39"/>
      <c r="C240" s="24" t="s">
        <v>29</v>
      </c>
      <c r="D240" s="25" t="s">
        <v>247</v>
      </c>
      <c r="E240" s="12">
        <f>57.76</f>
        <v>57.76</v>
      </c>
      <c r="F240" s="12">
        <f>57.76</f>
        <v>57.76</v>
      </c>
      <c r="G240" s="12" t="s">
        <v>18</v>
      </c>
      <c r="H240" s="12">
        <f>57.76</f>
        <v>57.76</v>
      </c>
    </row>
    <row r="241" spans="1:8" x14ac:dyDescent="0.25">
      <c r="A241" s="39"/>
      <c r="B241" s="39"/>
      <c r="C241" s="24" t="s">
        <v>30</v>
      </c>
      <c r="D241" s="25" t="s">
        <v>248</v>
      </c>
      <c r="E241" s="12">
        <f>0</f>
        <v>0</v>
      </c>
      <c r="F241" s="12">
        <f>0</f>
        <v>0</v>
      </c>
      <c r="G241" s="12" t="s">
        <v>15</v>
      </c>
      <c r="H241" s="12">
        <f>0</f>
        <v>0</v>
      </c>
    </row>
    <row r="242" spans="1:8" ht="31.5" x14ac:dyDescent="0.25">
      <c r="A242" s="39"/>
      <c r="B242" s="39"/>
      <c r="C242" s="24" t="s">
        <v>22</v>
      </c>
      <c r="D242" s="25" t="s">
        <v>249</v>
      </c>
      <c r="E242" s="12">
        <f>0</f>
        <v>0</v>
      </c>
      <c r="F242" s="12">
        <f>0</f>
        <v>0</v>
      </c>
      <c r="G242" s="12" t="s">
        <v>15</v>
      </c>
      <c r="H242" s="12">
        <f>0</f>
        <v>0</v>
      </c>
    </row>
    <row r="243" spans="1:8" x14ac:dyDescent="0.25">
      <c r="A243" s="39"/>
      <c r="B243" s="39"/>
      <c r="C243" s="22" t="s">
        <v>55</v>
      </c>
      <c r="D243" s="23" t="s">
        <v>42</v>
      </c>
      <c r="E243" s="3">
        <f>E244</f>
        <v>34561.870000000003</v>
      </c>
      <c r="F243" s="3">
        <f>F244</f>
        <v>34545.07</v>
      </c>
      <c r="G243" s="3" t="s">
        <v>372</v>
      </c>
      <c r="H243" s="3">
        <f>H244</f>
        <v>34545.07</v>
      </c>
    </row>
    <row r="244" spans="1:8" ht="31.5" x14ac:dyDescent="0.25">
      <c r="A244" s="39"/>
      <c r="B244" s="39"/>
      <c r="C244" s="24" t="s">
        <v>16</v>
      </c>
      <c r="D244" s="25" t="s">
        <v>43</v>
      </c>
      <c r="E244" s="12">
        <f>E245</f>
        <v>34561.870000000003</v>
      </c>
      <c r="F244" s="12">
        <f>F245</f>
        <v>34545.07</v>
      </c>
      <c r="G244" s="12" t="s">
        <v>372</v>
      </c>
      <c r="H244" s="12">
        <f>H245</f>
        <v>34545.07</v>
      </c>
    </row>
    <row r="245" spans="1:8" ht="47.25" x14ac:dyDescent="0.25">
      <c r="A245" s="39"/>
      <c r="B245" s="39"/>
      <c r="C245" s="24" t="s">
        <v>29</v>
      </c>
      <c r="D245" s="25" t="s">
        <v>342</v>
      </c>
      <c r="E245" s="12">
        <f>34561.87</f>
        <v>34561.870000000003</v>
      </c>
      <c r="F245" s="12">
        <f>34545.07</f>
        <v>34545.07</v>
      </c>
      <c r="G245" s="12" t="s">
        <v>372</v>
      </c>
      <c r="H245" s="12">
        <f>34545.07</f>
        <v>34545.07</v>
      </c>
    </row>
    <row r="246" spans="1:8" ht="19.5" x14ac:dyDescent="0.25">
      <c r="A246" s="40"/>
      <c r="B246" s="40"/>
      <c r="C246" s="17"/>
      <c r="D246" s="20" t="s">
        <v>6</v>
      </c>
      <c r="E246" s="21">
        <f>E174+E202+E214+E225+E238+E243</f>
        <v>98475.040000000008</v>
      </c>
      <c r="F246" s="21">
        <f>F174+F202+F214+F225+F238+F243</f>
        <v>91756.34</v>
      </c>
      <c r="G246" s="21" t="s">
        <v>598</v>
      </c>
      <c r="H246" s="21">
        <f>H174+H202+H214+H225+H238+H243</f>
        <v>91756.34</v>
      </c>
    </row>
    <row r="247" spans="1:8" x14ac:dyDescent="0.25">
      <c r="A247" s="38">
        <v>9</v>
      </c>
      <c r="B247" s="38" t="s">
        <v>345</v>
      </c>
      <c r="C247" s="22" t="s">
        <v>21</v>
      </c>
      <c r="D247" s="23" t="s">
        <v>250</v>
      </c>
      <c r="E247" s="3">
        <f>E248</f>
        <v>0</v>
      </c>
      <c r="F247" s="3">
        <f>F248</f>
        <v>0</v>
      </c>
      <c r="G247" s="3" t="s">
        <v>15</v>
      </c>
      <c r="H247" s="3">
        <f>H248</f>
        <v>0</v>
      </c>
    </row>
    <row r="248" spans="1:8" x14ac:dyDescent="0.25">
      <c r="A248" s="39"/>
      <c r="B248" s="39"/>
      <c r="C248" s="24" t="s">
        <v>16</v>
      </c>
      <c r="D248" s="25" t="s">
        <v>251</v>
      </c>
      <c r="E248" s="12">
        <f>0</f>
        <v>0</v>
      </c>
      <c r="F248" s="12">
        <f>0</f>
        <v>0</v>
      </c>
      <c r="G248" s="12" t="s">
        <v>15</v>
      </c>
      <c r="H248" s="12">
        <f>0</f>
        <v>0</v>
      </c>
    </row>
    <row r="249" spans="1:8" x14ac:dyDescent="0.25">
      <c r="A249" s="39"/>
      <c r="B249" s="39"/>
      <c r="C249" s="22" t="s">
        <v>28</v>
      </c>
      <c r="D249" s="23" t="s">
        <v>252</v>
      </c>
      <c r="E249" s="3">
        <f>E250</f>
        <v>0</v>
      </c>
      <c r="F249" s="3">
        <f>F250</f>
        <v>0</v>
      </c>
      <c r="G249" s="3" t="s">
        <v>15</v>
      </c>
      <c r="H249" s="3">
        <f>H250</f>
        <v>0</v>
      </c>
    </row>
    <row r="250" spans="1:8" ht="47.25" x14ac:dyDescent="0.25">
      <c r="A250" s="39"/>
      <c r="B250" s="39"/>
      <c r="C250" s="24" t="s">
        <v>16</v>
      </c>
      <c r="D250" s="25" t="s">
        <v>253</v>
      </c>
      <c r="E250" s="12">
        <f>0</f>
        <v>0</v>
      </c>
      <c r="F250" s="12">
        <f>0</f>
        <v>0</v>
      </c>
      <c r="G250" s="12" t="s">
        <v>15</v>
      </c>
      <c r="H250" s="12">
        <f>0</f>
        <v>0</v>
      </c>
    </row>
    <row r="251" spans="1:8" ht="47.25" x14ac:dyDescent="0.25">
      <c r="A251" s="39"/>
      <c r="B251" s="39"/>
      <c r="C251" s="22" t="s">
        <v>17</v>
      </c>
      <c r="D251" s="23" t="s">
        <v>254</v>
      </c>
      <c r="E251" s="3">
        <f>E252</f>
        <v>39282.979999999996</v>
      </c>
      <c r="F251" s="3">
        <f>F252</f>
        <v>39282.604770000005</v>
      </c>
      <c r="G251" s="3" t="s">
        <v>18</v>
      </c>
      <c r="H251" s="3">
        <f>H252</f>
        <v>39282.604770000005</v>
      </c>
    </row>
    <row r="252" spans="1:8" ht="47.25" x14ac:dyDescent="0.25">
      <c r="A252" s="39"/>
      <c r="B252" s="39"/>
      <c r="C252" s="24" t="s">
        <v>16</v>
      </c>
      <c r="D252" s="25" t="s">
        <v>255</v>
      </c>
      <c r="E252" s="12">
        <f>E253+E254</f>
        <v>39282.979999999996</v>
      </c>
      <c r="F252" s="12">
        <f>F253+F254</f>
        <v>39282.604770000005</v>
      </c>
      <c r="G252" s="12" t="s">
        <v>18</v>
      </c>
      <c r="H252" s="12">
        <f>H253+H254</f>
        <v>39282.604770000005</v>
      </c>
    </row>
    <row r="253" spans="1:8" ht="47.25" x14ac:dyDescent="0.25">
      <c r="A253" s="39"/>
      <c r="B253" s="39"/>
      <c r="C253" s="24" t="s">
        <v>29</v>
      </c>
      <c r="D253" s="25" t="s">
        <v>256</v>
      </c>
      <c r="E253" s="12">
        <f>1558.98+7545</f>
        <v>9103.98</v>
      </c>
      <c r="F253" s="12">
        <f>1558.98477+7544.724</f>
        <v>9103.7087700000011</v>
      </c>
      <c r="G253" s="12" t="s">
        <v>18</v>
      </c>
      <c r="H253" s="12">
        <f>1558.98477+7544.724</f>
        <v>9103.7087700000011</v>
      </c>
    </row>
    <row r="254" spans="1:8" ht="31.5" x14ac:dyDescent="0.25">
      <c r="A254" s="39"/>
      <c r="B254" s="39"/>
      <c r="C254" s="24" t="s">
        <v>30</v>
      </c>
      <c r="D254" s="25" t="s">
        <v>343</v>
      </c>
      <c r="E254" s="12">
        <f>30179</f>
        <v>30179</v>
      </c>
      <c r="F254" s="12">
        <f>30178.896</f>
        <v>30178.896000000001</v>
      </c>
      <c r="G254" s="12" t="s">
        <v>18</v>
      </c>
      <c r="H254" s="12">
        <f>30178.896</f>
        <v>30178.896000000001</v>
      </c>
    </row>
    <row r="255" spans="1:8" ht="31.5" x14ac:dyDescent="0.25">
      <c r="A255" s="39"/>
      <c r="B255" s="39"/>
      <c r="C255" s="22" t="s">
        <v>55</v>
      </c>
      <c r="D255" s="23" t="s">
        <v>257</v>
      </c>
      <c r="E255" s="3">
        <f>E256</f>
        <v>0</v>
      </c>
      <c r="F255" s="3">
        <f>F256</f>
        <v>0</v>
      </c>
      <c r="G255" s="3" t="s">
        <v>15</v>
      </c>
      <c r="H255" s="3">
        <f>H256</f>
        <v>0</v>
      </c>
    </row>
    <row r="256" spans="1:8" ht="47.25" x14ac:dyDescent="0.25">
      <c r="A256" s="39"/>
      <c r="B256" s="39"/>
      <c r="C256" s="24" t="s">
        <v>16</v>
      </c>
      <c r="D256" s="25" t="s">
        <v>344</v>
      </c>
      <c r="E256" s="12">
        <f>0</f>
        <v>0</v>
      </c>
      <c r="F256" s="12">
        <f>0</f>
        <v>0</v>
      </c>
      <c r="G256" s="12" t="s">
        <v>15</v>
      </c>
      <c r="H256" s="12">
        <f>0</f>
        <v>0</v>
      </c>
    </row>
    <row r="257" spans="1:8" ht="31.5" x14ac:dyDescent="0.25">
      <c r="A257" s="39"/>
      <c r="B257" s="39"/>
      <c r="C257" s="22" t="s">
        <v>152</v>
      </c>
      <c r="D257" s="23" t="s">
        <v>258</v>
      </c>
      <c r="E257" s="3">
        <f>E258</f>
        <v>0</v>
      </c>
      <c r="F257" s="3">
        <f>F258</f>
        <v>0</v>
      </c>
      <c r="G257" s="3" t="s">
        <v>15</v>
      </c>
      <c r="H257" s="3">
        <f>H258</f>
        <v>0</v>
      </c>
    </row>
    <row r="258" spans="1:8" ht="47.25" x14ac:dyDescent="0.25">
      <c r="A258" s="39"/>
      <c r="B258" s="39"/>
      <c r="C258" s="24" t="s">
        <v>16</v>
      </c>
      <c r="D258" s="25" t="s">
        <v>259</v>
      </c>
      <c r="E258" s="12">
        <f>0</f>
        <v>0</v>
      </c>
      <c r="F258" s="12">
        <f>0</f>
        <v>0</v>
      </c>
      <c r="G258" s="12" t="s">
        <v>15</v>
      </c>
      <c r="H258" s="12">
        <f>0</f>
        <v>0</v>
      </c>
    </row>
    <row r="259" spans="1:8" ht="19.5" x14ac:dyDescent="0.25">
      <c r="A259" s="40"/>
      <c r="B259" s="40"/>
      <c r="C259" s="17"/>
      <c r="D259" s="20" t="s">
        <v>6</v>
      </c>
      <c r="E259" s="21">
        <f>E247+E249+E251+E255+E257</f>
        <v>39282.979999999996</v>
      </c>
      <c r="F259" s="21">
        <f>F247+F249+F251+F255+F257</f>
        <v>39282.604770000005</v>
      </c>
      <c r="G259" s="21" t="s">
        <v>18</v>
      </c>
      <c r="H259" s="21">
        <f>H247+H249+H251+H255+H257</f>
        <v>39282.604770000005</v>
      </c>
    </row>
    <row r="260" spans="1:8" ht="84" customHeight="1" x14ac:dyDescent="0.25">
      <c r="A260" s="38">
        <v>10</v>
      </c>
      <c r="B260" s="38" t="s">
        <v>350</v>
      </c>
      <c r="C260" s="22" t="s">
        <v>21</v>
      </c>
      <c r="D260" s="23" t="s">
        <v>260</v>
      </c>
      <c r="E260" s="3">
        <f>E261</f>
        <v>24208.059999999998</v>
      </c>
      <c r="F260" s="3">
        <f>F261</f>
        <v>24027.599999999999</v>
      </c>
      <c r="G260" s="3" t="s">
        <v>549</v>
      </c>
      <c r="H260" s="3">
        <f>H261</f>
        <v>24027.599999999999</v>
      </c>
    </row>
    <row r="261" spans="1:8" ht="47.25" x14ac:dyDescent="0.25">
      <c r="A261" s="39"/>
      <c r="B261" s="39"/>
      <c r="C261" s="24" t="s">
        <v>13</v>
      </c>
      <c r="D261" s="25" t="s">
        <v>261</v>
      </c>
      <c r="E261" s="12">
        <f>E262</f>
        <v>24208.059999999998</v>
      </c>
      <c r="F261" s="12">
        <f>F262</f>
        <v>24027.599999999999</v>
      </c>
      <c r="G261" s="12" t="s">
        <v>549</v>
      </c>
      <c r="H261" s="12">
        <f>H262</f>
        <v>24027.599999999999</v>
      </c>
    </row>
    <row r="262" spans="1:8" ht="31.5" x14ac:dyDescent="0.25">
      <c r="A262" s="39"/>
      <c r="B262" s="39"/>
      <c r="C262" s="24" t="s">
        <v>40</v>
      </c>
      <c r="D262" s="25" t="s">
        <v>262</v>
      </c>
      <c r="E262" s="12">
        <f>5349.99+18858.07</f>
        <v>24208.059999999998</v>
      </c>
      <c r="F262" s="12">
        <f>5349.99+18677.61</f>
        <v>24027.599999999999</v>
      </c>
      <c r="G262" s="12" t="s">
        <v>549</v>
      </c>
      <c r="H262" s="12">
        <f>5349.99+18677.61</f>
        <v>24027.599999999999</v>
      </c>
    </row>
    <row r="263" spans="1:8" x14ac:dyDescent="0.25">
      <c r="A263" s="39"/>
      <c r="B263" s="39"/>
      <c r="C263" s="22" t="s">
        <v>17</v>
      </c>
      <c r="D263" s="23" t="s">
        <v>263</v>
      </c>
      <c r="E263" s="3">
        <f>E264+E269+E275</f>
        <v>428072.23</v>
      </c>
      <c r="F263" s="3">
        <f>F264+F269+F275</f>
        <v>325797.85459999996</v>
      </c>
      <c r="G263" s="3" t="s">
        <v>362</v>
      </c>
      <c r="H263" s="3">
        <f>H264+H269+H275</f>
        <v>325797.85459999996</v>
      </c>
    </row>
    <row r="264" spans="1:8" ht="47.25" x14ac:dyDescent="0.25">
      <c r="A264" s="39"/>
      <c r="B264" s="39"/>
      <c r="C264" s="24" t="s">
        <v>16</v>
      </c>
      <c r="D264" s="25" t="s">
        <v>264</v>
      </c>
      <c r="E264" s="12">
        <f>E265+E266+E267+E268</f>
        <v>5249.42</v>
      </c>
      <c r="F264" s="12">
        <f>F265+F266+F267+F268</f>
        <v>5249.4069300000001</v>
      </c>
      <c r="G264" s="12" t="s">
        <v>18</v>
      </c>
      <c r="H264" s="12">
        <f>H265+H266+H267+H268</f>
        <v>5249.4069300000001</v>
      </c>
    </row>
    <row r="265" spans="1:8" ht="31.5" x14ac:dyDescent="0.25">
      <c r="A265" s="39"/>
      <c r="B265" s="39"/>
      <c r="C265" s="24" t="s">
        <v>29</v>
      </c>
      <c r="D265" s="25" t="s">
        <v>265</v>
      </c>
      <c r="E265" s="12">
        <f>0</f>
        <v>0</v>
      </c>
      <c r="F265" s="12">
        <f>0</f>
        <v>0</v>
      </c>
      <c r="G265" s="12" t="s">
        <v>15</v>
      </c>
      <c r="H265" s="12">
        <f>0</f>
        <v>0</v>
      </c>
    </row>
    <row r="266" spans="1:8" ht="31.5" x14ac:dyDescent="0.25">
      <c r="A266" s="39"/>
      <c r="B266" s="39"/>
      <c r="C266" s="24" t="s">
        <v>50</v>
      </c>
      <c r="D266" s="25" t="s">
        <v>365</v>
      </c>
      <c r="E266" s="12">
        <f>992.14+4257.28</f>
        <v>5249.42</v>
      </c>
      <c r="F266" s="12">
        <f>992.14+4257.26693</f>
        <v>5249.4069300000001</v>
      </c>
      <c r="G266" s="12" t="s">
        <v>18</v>
      </c>
      <c r="H266" s="12">
        <f>992.14+4257.26693</f>
        <v>5249.4069300000001</v>
      </c>
    </row>
    <row r="267" spans="1:8" ht="31.5" x14ac:dyDescent="0.25">
      <c r="A267" s="39"/>
      <c r="B267" s="39"/>
      <c r="C267" s="24" t="s">
        <v>58</v>
      </c>
      <c r="D267" s="25" t="s">
        <v>366</v>
      </c>
      <c r="E267" s="12">
        <f>0</f>
        <v>0</v>
      </c>
      <c r="F267" s="12">
        <f>0</f>
        <v>0</v>
      </c>
      <c r="G267" s="12" t="s">
        <v>15</v>
      </c>
      <c r="H267" s="12">
        <f>0</f>
        <v>0</v>
      </c>
    </row>
    <row r="268" spans="1:8" ht="47.25" x14ac:dyDescent="0.25">
      <c r="A268" s="39"/>
      <c r="B268" s="39"/>
      <c r="C268" s="24" t="s">
        <v>24</v>
      </c>
      <c r="D268" s="25" t="s">
        <v>367</v>
      </c>
      <c r="E268" s="12">
        <f>0</f>
        <v>0</v>
      </c>
      <c r="F268" s="12">
        <f>0</f>
        <v>0</v>
      </c>
      <c r="G268" s="12" t="s">
        <v>15</v>
      </c>
      <c r="H268" s="12">
        <f>0</f>
        <v>0</v>
      </c>
    </row>
    <row r="269" spans="1:8" ht="47.25" x14ac:dyDescent="0.25">
      <c r="A269" s="39"/>
      <c r="B269" s="39"/>
      <c r="C269" s="24" t="s">
        <v>13</v>
      </c>
      <c r="D269" s="25" t="s">
        <v>346</v>
      </c>
      <c r="E269" s="12">
        <f>E270+E271+E272+E273+E274</f>
        <v>422822.81</v>
      </c>
      <c r="F269" s="12">
        <f>F270+F271+F272+F273+F274</f>
        <v>320548.44766999997</v>
      </c>
      <c r="G269" s="12" t="s">
        <v>599</v>
      </c>
      <c r="H269" s="12">
        <f>H270+H271+H272+H273+H274</f>
        <v>320548.44766999997</v>
      </c>
    </row>
    <row r="270" spans="1:8" ht="31.5" x14ac:dyDescent="0.25">
      <c r="A270" s="39"/>
      <c r="B270" s="39"/>
      <c r="C270" s="24" t="s">
        <v>40</v>
      </c>
      <c r="D270" s="25" t="s">
        <v>266</v>
      </c>
      <c r="E270" s="12">
        <f>0</f>
        <v>0</v>
      </c>
      <c r="F270" s="12">
        <f>0</f>
        <v>0</v>
      </c>
      <c r="G270" s="12" t="s">
        <v>15</v>
      </c>
      <c r="H270" s="12">
        <f>0</f>
        <v>0</v>
      </c>
    </row>
    <row r="271" spans="1:8" ht="31.5" x14ac:dyDescent="0.25">
      <c r="A271" s="39"/>
      <c r="B271" s="39"/>
      <c r="C271" s="24" t="s">
        <v>347</v>
      </c>
      <c r="D271" s="25" t="s">
        <v>348</v>
      </c>
      <c r="E271" s="12">
        <f>79792.86+342391.61</f>
        <v>422184.47</v>
      </c>
      <c r="F271" s="12">
        <f>60143.1027+259767.01797</f>
        <v>319910.12066999997</v>
      </c>
      <c r="G271" s="12" t="s">
        <v>599</v>
      </c>
      <c r="H271" s="12">
        <f>60143.1027+259767.01797</f>
        <v>319910.12066999997</v>
      </c>
    </row>
    <row r="272" spans="1:8" ht="31.5" x14ac:dyDescent="0.25">
      <c r="A272" s="39"/>
      <c r="B272" s="39"/>
      <c r="C272" s="24" t="s">
        <v>285</v>
      </c>
      <c r="D272" s="25" t="s">
        <v>349</v>
      </c>
      <c r="E272" s="12">
        <f>120.65+517.69</f>
        <v>638.34</v>
      </c>
      <c r="F272" s="12">
        <f>120.65+517.677</f>
        <v>638.327</v>
      </c>
      <c r="G272" s="12" t="s">
        <v>18</v>
      </c>
      <c r="H272" s="12">
        <f>120.65+517.677</f>
        <v>638.327</v>
      </c>
    </row>
    <row r="273" spans="1:8" ht="31.5" x14ac:dyDescent="0.25">
      <c r="A273" s="39"/>
      <c r="B273" s="39"/>
      <c r="C273" s="24" t="s">
        <v>20</v>
      </c>
      <c r="D273" s="25" t="s">
        <v>368</v>
      </c>
      <c r="E273" s="12">
        <f>0</f>
        <v>0</v>
      </c>
      <c r="F273" s="12">
        <f>0</f>
        <v>0</v>
      </c>
      <c r="G273" s="12" t="s">
        <v>15</v>
      </c>
      <c r="H273" s="12">
        <f>0</f>
        <v>0</v>
      </c>
    </row>
    <row r="274" spans="1:8" ht="31.5" x14ac:dyDescent="0.25">
      <c r="A274" s="39"/>
      <c r="B274" s="39"/>
      <c r="C274" s="24" t="s">
        <v>287</v>
      </c>
      <c r="D274" s="25" t="s">
        <v>369</v>
      </c>
      <c r="E274" s="12">
        <f>0</f>
        <v>0</v>
      </c>
      <c r="F274" s="12">
        <f>0</f>
        <v>0</v>
      </c>
      <c r="G274" s="12" t="s">
        <v>15</v>
      </c>
      <c r="H274" s="12">
        <f>0</f>
        <v>0</v>
      </c>
    </row>
    <row r="275" spans="1:8" ht="47.25" x14ac:dyDescent="0.25">
      <c r="A275" s="39"/>
      <c r="B275" s="39"/>
      <c r="C275" s="24" t="s">
        <v>38</v>
      </c>
      <c r="D275" s="25" t="s">
        <v>267</v>
      </c>
      <c r="E275" s="12">
        <f>0</f>
        <v>0</v>
      </c>
      <c r="F275" s="12">
        <f>0</f>
        <v>0</v>
      </c>
      <c r="G275" s="12" t="s">
        <v>15</v>
      </c>
      <c r="H275" s="12">
        <f>0</f>
        <v>0</v>
      </c>
    </row>
    <row r="276" spans="1:8" x14ac:dyDescent="0.25">
      <c r="A276" s="39"/>
      <c r="B276" s="39"/>
      <c r="C276" s="22" t="s">
        <v>14</v>
      </c>
      <c r="D276" s="23" t="s">
        <v>268</v>
      </c>
      <c r="E276" s="3">
        <f>E277</f>
        <v>0</v>
      </c>
      <c r="F276" s="3">
        <f>F277</f>
        <v>0</v>
      </c>
      <c r="G276" s="3" t="s">
        <v>15</v>
      </c>
      <c r="H276" s="3">
        <f>H277</f>
        <v>0</v>
      </c>
    </row>
    <row r="277" spans="1:8" ht="31.5" x14ac:dyDescent="0.25">
      <c r="A277" s="39"/>
      <c r="B277" s="39"/>
      <c r="C277" s="24" t="s">
        <v>13</v>
      </c>
      <c r="D277" s="25" t="s">
        <v>269</v>
      </c>
      <c r="E277" s="12">
        <f>0</f>
        <v>0</v>
      </c>
      <c r="F277" s="12">
        <f>0</f>
        <v>0</v>
      </c>
      <c r="G277" s="12" t="s">
        <v>15</v>
      </c>
      <c r="H277" s="12">
        <f>0</f>
        <v>0</v>
      </c>
    </row>
    <row r="278" spans="1:8" x14ac:dyDescent="0.25">
      <c r="A278" s="39"/>
      <c r="B278" s="39"/>
      <c r="C278" s="22" t="s">
        <v>123</v>
      </c>
      <c r="D278" s="23" t="s">
        <v>270</v>
      </c>
      <c r="E278" s="3">
        <f>E279+E280</f>
        <v>0</v>
      </c>
      <c r="F278" s="3">
        <f>F279+F280</f>
        <v>0</v>
      </c>
      <c r="G278" s="3" t="s">
        <v>15</v>
      </c>
      <c r="H278" s="3">
        <f>H279+H280</f>
        <v>0</v>
      </c>
    </row>
    <row r="279" spans="1:8" ht="31.5" x14ac:dyDescent="0.25">
      <c r="A279" s="39"/>
      <c r="B279" s="39"/>
      <c r="C279" s="24" t="s">
        <v>16</v>
      </c>
      <c r="D279" s="25" t="s">
        <v>370</v>
      </c>
      <c r="E279" s="12">
        <f>0</f>
        <v>0</v>
      </c>
      <c r="F279" s="12">
        <f>0</f>
        <v>0</v>
      </c>
      <c r="G279" s="12" t="s">
        <v>15</v>
      </c>
      <c r="H279" s="12">
        <f>0</f>
        <v>0</v>
      </c>
    </row>
    <row r="280" spans="1:8" ht="31.5" x14ac:dyDescent="0.25">
      <c r="A280" s="39"/>
      <c r="B280" s="39"/>
      <c r="C280" s="24" t="s">
        <v>13</v>
      </c>
      <c r="D280" s="25" t="s">
        <v>271</v>
      </c>
      <c r="E280" s="12">
        <f>0</f>
        <v>0</v>
      </c>
      <c r="F280" s="12">
        <f>0</f>
        <v>0</v>
      </c>
      <c r="G280" s="12" t="s">
        <v>15</v>
      </c>
      <c r="H280" s="12">
        <f>0</f>
        <v>0</v>
      </c>
    </row>
    <row r="281" spans="1:8" ht="19.5" x14ac:dyDescent="0.25">
      <c r="A281" s="40"/>
      <c r="B281" s="40"/>
      <c r="C281" s="17"/>
      <c r="D281" s="20" t="s">
        <v>6</v>
      </c>
      <c r="E281" s="21">
        <f>E260+E263+E276+E278</f>
        <v>452280.29</v>
      </c>
      <c r="F281" s="21">
        <f>F260+F263+F276+F278</f>
        <v>349825.45459999994</v>
      </c>
      <c r="G281" s="21" t="s">
        <v>359</v>
      </c>
      <c r="H281" s="21">
        <f>H260+H263+H276+H278</f>
        <v>349825.45459999994</v>
      </c>
    </row>
    <row r="282" spans="1:8" ht="24" customHeight="1" x14ac:dyDescent="0.25">
      <c r="A282" s="35">
        <v>11</v>
      </c>
      <c r="B282" s="35" t="s">
        <v>352</v>
      </c>
      <c r="C282" s="22" t="s">
        <v>21</v>
      </c>
      <c r="D282" s="23" t="s">
        <v>61</v>
      </c>
      <c r="E282" s="3">
        <f>E283+E284+E286+E287</f>
        <v>38381.79</v>
      </c>
      <c r="F282" s="3">
        <f>F283+F284+F286+F287</f>
        <v>38379.096700000002</v>
      </c>
      <c r="G282" s="3" t="s">
        <v>18</v>
      </c>
      <c r="H282" s="3">
        <f>H283+H284+H286+H287</f>
        <v>38379.096700000002</v>
      </c>
    </row>
    <row r="283" spans="1:8" ht="47.25" x14ac:dyDescent="0.25">
      <c r="A283" s="36"/>
      <c r="B283" s="36"/>
      <c r="C283" s="24" t="s">
        <v>13</v>
      </c>
      <c r="D283" s="25" t="s">
        <v>62</v>
      </c>
      <c r="E283" s="12">
        <f>0</f>
        <v>0</v>
      </c>
      <c r="F283" s="12">
        <f>0</f>
        <v>0</v>
      </c>
      <c r="G283" s="12" t="s">
        <v>15</v>
      </c>
      <c r="H283" s="12">
        <f>0</f>
        <v>0</v>
      </c>
    </row>
    <row r="284" spans="1:8" ht="31.5" x14ac:dyDescent="0.25">
      <c r="A284" s="36"/>
      <c r="B284" s="36"/>
      <c r="C284" s="24" t="s">
        <v>33</v>
      </c>
      <c r="D284" s="25" t="s">
        <v>63</v>
      </c>
      <c r="E284" s="12">
        <f>E285</f>
        <v>38381.79</v>
      </c>
      <c r="F284" s="12">
        <f>F285</f>
        <v>38379.096700000002</v>
      </c>
      <c r="G284" s="12" t="s">
        <v>18</v>
      </c>
      <c r="H284" s="12">
        <f>H285</f>
        <v>38379.096700000002</v>
      </c>
    </row>
    <row r="285" spans="1:8" ht="78.75" x14ac:dyDescent="0.25">
      <c r="A285" s="36"/>
      <c r="B285" s="36"/>
      <c r="C285" s="24" t="s">
        <v>34</v>
      </c>
      <c r="D285" s="25" t="s">
        <v>64</v>
      </c>
      <c r="E285" s="12">
        <f>38381.79</f>
        <v>38381.79</v>
      </c>
      <c r="F285" s="12">
        <f>38379.0967</f>
        <v>38379.096700000002</v>
      </c>
      <c r="G285" s="12" t="s">
        <v>18</v>
      </c>
      <c r="H285" s="12">
        <f>38379.0967</f>
        <v>38379.096700000002</v>
      </c>
    </row>
    <row r="286" spans="1:8" ht="31.5" x14ac:dyDescent="0.25">
      <c r="A286" s="36"/>
      <c r="B286" s="36"/>
      <c r="C286" s="24" t="s">
        <v>38</v>
      </c>
      <c r="D286" s="25" t="s">
        <v>65</v>
      </c>
      <c r="E286" s="12">
        <f>0</f>
        <v>0</v>
      </c>
      <c r="F286" s="12">
        <f>0</f>
        <v>0</v>
      </c>
      <c r="G286" s="12" t="s">
        <v>15</v>
      </c>
      <c r="H286" s="12">
        <f>0</f>
        <v>0</v>
      </c>
    </row>
    <row r="287" spans="1:8" x14ac:dyDescent="0.25">
      <c r="A287" s="36"/>
      <c r="B287" s="36"/>
      <c r="C287" s="24" t="s">
        <v>66</v>
      </c>
      <c r="D287" s="25" t="s">
        <v>67</v>
      </c>
      <c r="E287" s="12">
        <f>0</f>
        <v>0</v>
      </c>
      <c r="F287" s="12">
        <f>0</f>
        <v>0</v>
      </c>
      <c r="G287" s="12" t="s">
        <v>15</v>
      </c>
      <c r="H287" s="12">
        <f>0</f>
        <v>0</v>
      </c>
    </row>
    <row r="288" spans="1:8" x14ac:dyDescent="0.25">
      <c r="A288" s="36"/>
      <c r="B288" s="36"/>
      <c r="C288" s="22" t="s">
        <v>28</v>
      </c>
      <c r="D288" s="23" t="s">
        <v>68</v>
      </c>
      <c r="E288" s="3">
        <f>E289+E290</f>
        <v>0</v>
      </c>
      <c r="F288" s="3">
        <f>F289+F290</f>
        <v>0</v>
      </c>
      <c r="G288" s="3" t="s">
        <v>15</v>
      </c>
      <c r="H288" s="3">
        <f>H289+H290</f>
        <v>0</v>
      </c>
    </row>
    <row r="289" spans="1:8" ht="31.5" x14ac:dyDescent="0.25">
      <c r="A289" s="36"/>
      <c r="B289" s="36"/>
      <c r="C289" s="24" t="s">
        <v>57</v>
      </c>
      <c r="D289" s="25" t="s">
        <v>69</v>
      </c>
      <c r="E289" s="12">
        <f>0</f>
        <v>0</v>
      </c>
      <c r="F289" s="12">
        <f>0</f>
        <v>0</v>
      </c>
      <c r="G289" s="12" t="s">
        <v>15</v>
      </c>
      <c r="H289" s="12">
        <f>0</f>
        <v>0</v>
      </c>
    </row>
    <row r="290" spans="1:8" ht="31.5" x14ac:dyDescent="0.25">
      <c r="A290" s="36"/>
      <c r="B290" s="36"/>
      <c r="C290" s="24" t="s">
        <v>70</v>
      </c>
      <c r="D290" s="25" t="s">
        <v>71</v>
      </c>
      <c r="E290" s="12">
        <f>0</f>
        <v>0</v>
      </c>
      <c r="F290" s="12">
        <f>0</f>
        <v>0</v>
      </c>
      <c r="G290" s="12" t="s">
        <v>15</v>
      </c>
      <c r="H290" s="12">
        <f>0</f>
        <v>0</v>
      </c>
    </row>
    <row r="291" spans="1:8" x14ac:dyDescent="0.25">
      <c r="A291" s="36"/>
      <c r="B291" s="36"/>
      <c r="C291" s="22" t="s">
        <v>17</v>
      </c>
      <c r="D291" s="23" t="s">
        <v>72</v>
      </c>
      <c r="E291" s="3">
        <f>E292</f>
        <v>4979.1980000000003</v>
      </c>
      <c r="F291" s="3">
        <f>F292</f>
        <v>4979.1980000000003</v>
      </c>
      <c r="G291" s="3" t="s">
        <v>18</v>
      </c>
      <c r="H291" s="3">
        <f>H292</f>
        <v>4979.1980000000003</v>
      </c>
    </row>
    <row r="292" spans="1:8" ht="31.5" x14ac:dyDescent="0.25">
      <c r="A292" s="36"/>
      <c r="B292" s="36"/>
      <c r="C292" s="24" t="s">
        <v>13</v>
      </c>
      <c r="D292" s="25" t="s">
        <v>73</v>
      </c>
      <c r="E292" s="12">
        <f>E293+E294+E295+E296</f>
        <v>4979.1980000000003</v>
      </c>
      <c r="F292" s="12">
        <f>F293+F294+F295+F296</f>
        <v>4979.1980000000003</v>
      </c>
      <c r="G292" s="12" t="s">
        <v>18</v>
      </c>
      <c r="H292" s="12">
        <f>H293+H294+H295+H296</f>
        <v>4979.1980000000003</v>
      </c>
    </row>
    <row r="293" spans="1:8" ht="31.5" x14ac:dyDescent="0.25">
      <c r="A293" s="36"/>
      <c r="B293" s="36"/>
      <c r="C293" s="24" t="s">
        <v>40</v>
      </c>
      <c r="D293" s="25" t="s">
        <v>74</v>
      </c>
      <c r="E293" s="12">
        <f>4979.198</f>
        <v>4979.1980000000003</v>
      </c>
      <c r="F293" s="12">
        <f>4979.198</f>
        <v>4979.1980000000003</v>
      </c>
      <c r="G293" s="12" t="s">
        <v>18</v>
      </c>
      <c r="H293" s="12">
        <f>4979.198</f>
        <v>4979.1980000000003</v>
      </c>
    </row>
    <row r="294" spans="1:8" ht="47.25" x14ac:dyDescent="0.25">
      <c r="A294" s="36"/>
      <c r="B294" s="36"/>
      <c r="C294" s="24" t="s">
        <v>56</v>
      </c>
      <c r="D294" s="25" t="s">
        <v>75</v>
      </c>
      <c r="E294" s="12">
        <f>0</f>
        <v>0</v>
      </c>
      <c r="F294" s="12">
        <f>0</f>
        <v>0</v>
      </c>
      <c r="G294" s="12" t="s">
        <v>15</v>
      </c>
      <c r="H294" s="12">
        <f>0</f>
        <v>0</v>
      </c>
    </row>
    <row r="295" spans="1:8" ht="94.5" x14ac:dyDescent="0.25">
      <c r="A295" s="36"/>
      <c r="B295" s="36"/>
      <c r="C295" s="24" t="s">
        <v>76</v>
      </c>
      <c r="D295" s="25" t="s">
        <v>77</v>
      </c>
      <c r="E295" s="12">
        <f>0</f>
        <v>0</v>
      </c>
      <c r="F295" s="12">
        <f>0</f>
        <v>0</v>
      </c>
      <c r="G295" s="12" t="s">
        <v>15</v>
      </c>
      <c r="H295" s="12">
        <f>0</f>
        <v>0</v>
      </c>
    </row>
    <row r="296" spans="1:8" ht="126" x14ac:dyDescent="0.25">
      <c r="A296" s="36"/>
      <c r="B296" s="36"/>
      <c r="C296" s="24" t="s">
        <v>92</v>
      </c>
      <c r="D296" s="25" t="s">
        <v>351</v>
      </c>
      <c r="E296" s="12">
        <f>0</f>
        <v>0</v>
      </c>
      <c r="F296" s="12">
        <f>0</f>
        <v>0</v>
      </c>
      <c r="G296" s="12" t="s">
        <v>15</v>
      </c>
      <c r="H296" s="12">
        <f>0</f>
        <v>0</v>
      </c>
    </row>
    <row r="297" spans="1:8" ht="31.5" x14ac:dyDescent="0.25">
      <c r="A297" s="36"/>
      <c r="B297" s="36"/>
      <c r="C297" s="22" t="s">
        <v>44</v>
      </c>
      <c r="D297" s="23" t="s">
        <v>78</v>
      </c>
      <c r="E297" s="3">
        <f>E298+E299+E300+E301</f>
        <v>0</v>
      </c>
      <c r="F297" s="3">
        <f>F298+F299+F300+F301</f>
        <v>0</v>
      </c>
      <c r="G297" s="3" t="s">
        <v>15</v>
      </c>
      <c r="H297" s="3">
        <f>H298+H299+H300+H301</f>
        <v>0</v>
      </c>
    </row>
    <row r="298" spans="1:8" ht="31.5" x14ac:dyDescent="0.25">
      <c r="A298" s="36"/>
      <c r="B298" s="36"/>
      <c r="C298" s="24" t="s">
        <v>16</v>
      </c>
      <c r="D298" s="25" t="s">
        <v>79</v>
      </c>
      <c r="E298" s="12">
        <f>0</f>
        <v>0</v>
      </c>
      <c r="F298" s="12">
        <f>0</f>
        <v>0</v>
      </c>
      <c r="G298" s="12" t="s">
        <v>15</v>
      </c>
      <c r="H298" s="12">
        <f>0</f>
        <v>0</v>
      </c>
    </row>
    <row r="299" spans="1:8" ht="31.5" x14ac:dyDescent="0.25">
      <c r="A299" s="36"/>
      <c r="B299" s="36"/>
      <c r="C299" s="24" t="s">
        <v>19</v>
      </c>
      <c r="D299" s="25" t="s">
        <v>80</v>
      </c>
      <c r="E299" s="12">
        <f>0</f>
        <v>0</v>
      </c>
      <c r="F299" s="12">
        <f>0</f>
        <v>0</v>
      </c>
      <c r="G299" s="12" t="s">
        <v>15</v>
      </c>
      <c r="H299" s="12">
        <f>0</f>
        <v>0</v>
      </c>
    </row>
    <row r="300" spans="1:8" ht="31.5" x14ac:dyDescent="0.25">
      <c r="A300" s="36"/>
      <c r="B300" s="36"/>
      <c r="C300" s="24" t="s">
        <v>70</v>
      </c>
      <c r="D300" s="25" t="s">
        <v>81</v>
      </c>
      <c r="E300" s="12">
        <f>0</f>
        <v>0</v>
      </c>
      <c r="F300" s="12">
        <f>0</f>
        <v>0</v>
      </c>
      <c r="G300" s="12" t="s">
        <v>15</v>
      </c>
      <c r="H300" s="12">
        <f>0</f>
        <v>0</v>
      </c>
    </row>
    <row r="301" spans="1:8" ht="31.5" x14ac:dyDescent="0.25">
      <c r="A301" s="36"/>
      <c r="B301" s="36"/>
      <c r="C301" s="24" t="s">
        <v>82</v>
      </c>
      <c r="D301" s="25" t="s">
        <v>83</v>
      </c>
      <c r="E301" s="12">
        <f>0</f>
        <v>0</v>
      </c>
      <c r="F301" s="12">
        <f>0</f>
        <v>0</v>
      </c>
      <c r="G301" s="12" t="s">
        <v>15</v>
      </c>
      <c r="H301" s="12">
        <f>0</f>
        <v>0</v>
      </c>
    </row>
    <row r="302" spans="1:8" ht="19.5" x14ac:dyDescent="0.25">
      <c r="A302" s="37"/>
      <c r="B302" s="37"/>
      <c r="C302" s="17"/>
      <c r="D302" s="20" t="s">
        <v>6</v>
      </c>
      <c r="E302" s="21">
        <f>E282+E288+E291+E297</f>
        <v>43360.987999999998</v>
      </c>
      <c r="F302" s="21">
        <f>F282+F288+F291+F297</f>
        <v>43358.294699999999</v>
      </c>
      <c r="G302" s="21" t="s">
        <v>18</v>
      </c>
      <c r="H302" s="21">
        <f>H282+H288+H291+H297</f>
        <v>43358.294699999999</v>
      </c>
    </row>
    <row r="303" spans="1:8" ht="48" customHeight="1" x14ac:dyDescent="0.25">
      <c r="A303" s="35">
        <v>12</v>
      </c>
      <c r="B303" s="35" t="s">
        <v>353</v>
      </c>
      <c r="C303" s="22" t="s">
        <v>21</v>
      </c>
      <c r="D303" s="23" t="s">
        <v>373</v>
      </c>
      <c r="E303" s="3">
        <f>E304+E308+E310</f>
        <v>75375.59</v>
      </c>
      <c r="F303" s="3">
        <f>F304+F308+F310</f>
        <v>74840.964390000008</v>
      </c>
      <c r="G303" s="3" t="s">
        <v>549</v>
      </c>
      <c r="H303" s="3">
        <f>H304+H308+H310</f>
        <v>74840.964390000008</v>
      </c>
    </row>
    <row r="304" spans="1:8" ht="31.5" x14ac:dyDescent="0.25">
      <c r="A304" s="36"/>
      <c r="B304" s="36"/>
      <c r="C304" s="24" t="s">
        <v>13</v>
      </c>
      <c r="D304" s="25" t="s">
        <v>374</v>
      </c>
      <c r="E304" s="12">
        <f>E305+E306+E307</f>
        <v>41529.919999999998</v>
      </c>
      <c r="F304" s="12">
        <f>F305+F306+F307</f>
        <v>41121.030129999999</v>
      </c>
      <c r="G304" s="12" t="s">
        <v>600</v>
      </c>
      <c r="H304" s="12">
        <f>H305+H306+H307</f>
        <v>41121.030129999999</v>
      </c>
    </row>
    <row r="305" spans="1:8" ht="47.25" x14ac:dyDescent="0.25">
      <c r="A305" s="36"/>
      <c r="B305" s="36"/>
      <c r="C305" s="24" t="s">
        <v>40</v>
      </c>
      <c r="D305" s="25" t="s">
        <v>375</v>
      </c>
      <c r="E305" s="12">
        <f>5846.27</f>
        <v>5846.27</v>
      </c>
      <c r="F305" s="12">
        <f>5437.38013</f>
        <v>5437.3801299999996</v>
      </c>
      <c r="G305" s="12" t="s">
        <v>601</v>
      </c>
      <c r="H305" s="12">
        <f>5437.38013</f>
        <v>5437.3801299999996</v>
      </c>
    </row>
    <row r="306" spans="1:8" ht="31.5" x14ac:dyDescent="0.25">
      <c r="A306" s="36"/>
      <c r="B306" s="36"/>
      <c r="C306" s="24" t="s">
        <v>45</v>
      </c>
      <c r="D306" s="25" t="s">
        <v>376</v>
      </c>
      <c r="E306" s="12">
        <f>35283.65</f>
        <v>35283.65</v>
      </c>
      <c r="F306" s="12">
        <f>35283.65</f>
        <v>35283.65</v>
      </c>
      <c r="G306" s="12" t="s">
        <v>18</v>
      </c>
      <c r="H306" s="12">
        <f>35283.65</f>
        <v>35283.65</v>
      </c>
    </row>
    <row r="307" spans="1:8" ht="47.25" x14ac:dyDescent="0.25">
      <c r="A307" s="36"/>
      <c r="B307" s="36"/>
      <c r="C307" s="24" t="s">
        <v>56</v>
      </c>
      <c r="D307" s="25" t="s">
        <v>377</v>
      </c>
      <c r="E307" s="12">
        <f>400</f>
        <v>400</v>
      </c>
      <c r="F307" s="12">
        <f>400</f>
        <v>400</v>
      </c>
      <c r="G307" s="12" t="s">
        <v>18</v>
      </c>
      <c r="H307" s="12">
        <f>400</f>
        <v>400</v>
      </c>
    </row>
    <row r="308" spans="1:8" ht="63" x14ac:dyDescent="0.25">
      <c r="A308" s="36"/>
      <c r="B308" s="36"/>
      <c r="C308" s="24" t="s">
        <v>33</v>
      </c>
      <c r="D308" s="25" t="s">
        <v>378</v>
      </c>
      <c r="E308" s="12">
        <f>E309</f>
        <v>1904</v>
      </c>
      <c r="F308" s="12">
        <f>F309</f>
        <v>1904</v>
      </c>
      <c r="G308" s="12" t="s">
        <v>18</v>
      </c>
      <c r="H308" s="12">
        <f>H309</f>
        <v>1904</v>
      </c>
    </row>
    <row r="309" spans="1:8" ht="94.5" x14ac:dyDescent="0.25">
      <c r="A309" s="36"/>
      <c r="B309" s="36"/>
      <c r="C309" s="24" t="s">
        <v>34</v>
      </c>
      <c r="D309" s="25" t="s">
        <v>379</v>
      </c>
      <c r="E309" s="12">
        <f>1904</f>
        <v>1904</v>
      </c>
      <c r="F309" s="12">
        <f>1904</f>
        <v>1904</v>
      </c>
      <c r="G309" s="12" t="s">
        <v>18</v>
      </c>
      <c r="H309" s="12">
        <f>1904</f>
        <v>1904</v>
      </c>
    </row>
    <row r="310" spans="1:8" ht="31.5" x14ac:dyDescent="0.25">
      <c r="A310" s="36"/>
      <c r="B310" s="36"/>
      <c r="C310" s="24" t="s">
        <v>36</v>
      </c>
      <c r="D310" s="25" t="s">
        <v>43</v>
      </c>
      <c r="E310" s="12">
        <f>E311</f>
        <v>31941.67</v>
      </c>
      <c r="F310" s="12">
        <f>F311</f>
        <v>31815.934260000002</v>
      </c>
      <c r="G310" s="12" t="s">
        <v>361</v>
      </c>
      <c r="H310" s="12">
        <f>H311</f>
        <v>31815.934260000002</v>
      </c>
    </row>
    <row r="311" spans="1:8" ht="31.5" x14ac:dyDescent="0.25">
      <c r="A311" s="36"/>
      <c r="B311" s="36"/>
      <c r="C311" s="24" t="s">
        <v>37</v>
      </c>
      <c r="D311" s="25" t="s">
        <v>380</v>
      </c>
      <c r="E311" s="12">
        <f>31941.67</f>
        <v>31941.67</v>
      </c>
      <c r="F311" s="12">
        <f>31815.93426</f>
        <v>31815.934260000002</v>
      </c>
      <c r="G311" s="12" t="s">
        <v>361</v>
      </c>
      <c r="H311" s="12">
        <f>31815.93426</f>
        <v>31815.934260000002</v>
      </c>
    </row>
    <row r="312" spans="1:8" x14ac:dyDescent="0.25">
      <c r="A312" s="36"/>
      <c r="B312" s="36"/>
      <c r="C312" s="22" t="s">
        <v>17</v>
      </c>
      <c r="D312" s="23" t="s">
        <v>381</v>
      </c>
      <c r="E312" s="3">
        <f>E313</f>
        <v>0</v>
      </c>
      <c r="F312" s="3">
        <f>F313</f>
        <v>0</v>
      </c>
      <c r="G312" s="3" t="s">
        <v>15</v>
      </c>
      <c r="H312" s="3">
        <f>H313</f>
        <v>0</v>
      </c>
    </row>
    <row r="313" spans="1:8" x14ac:dyDescent="0.25">
      <c r="A313" s="36"/>
      <c r="B313" s="36"/>
      <c r="C313" s="24" t="s">
        <v>16</v>
      </c>
      <c r="D313" s="25" t="s">
        <v>382</v>
      </c>
      <c r="E313" s="12">
        <f>0</f>
        <v>0</v>
      </c>
      <c r="F313" s="12">
        <f>0</f>
        <v>0</v>
      </c>
      <c r="G313" s="12" t="s">
        <v>15</v>
      </c>
      <c r="H313" s="12">
        <f>0</f>
        <v>0</v>
      </c>
    </row>
    <row r="314" spans="1:8" x14ac:dyDescent="0.25">
      <c r="A314" s="36"/>
      <c r="B314" s="36"/>
      <c r="C314" s="22" t="s">
        <v>44</v>
      </c>
      <c r="D314" s="23" t="s">
        <v>383</v>
      </c>
      <c r="E314" s="3">
        <f>E315+E316</f>
        <v>0</v>
      </c>
      <c r="F314" s="3">
        <f>F315+F316</f>
        <v>0</v>
      </c>
      <c r="G314" s="3" t="s">
        <v>15</v>
      </c>
      <c r="H314" s="3">
        <f>H315+H316</f>
        <v>0</v>
      </c>
    </row>
    <row r="315" spans="1:8" x14ac:dyDescent="0.25">
      <c r="A315" s="36"/>
      <c r="B315" s="36"/>
      <c r="C315" s="24" t="s">
        <v>57</v>
      </c>
      <c r="D315" s="25" t="s">
        <v>384</v>
      </c>
      <c r="E315" s="12">
        <f>0</f>
        <v>0</v>
      </c>
      <c r="F315" s="12">
        <f>0</f>
        <v>0</v>
      </c>
      <c r="G315" s="12" t="s">
        <v>15</v>
      </c>
      <c r="H315" s="12">
        <f>0</f>
        <v>0</v>
      </c>
    </row>
    <row r="316" spans="1:8" x14ac:dyDescent="0.25">
      <c r="A316" s="36"/>
      <c r="B316" s="36"/>
      <c r="C316" s="24" t="s">
        <v>19</v>
      </c>
      <c r="D316" s="25" t="s">
        <v>385</v>
      </c>
      <c r="E316" s="12">
        <f>0</f>
        <v>0</v>
      </c>
      <c r="F316" s="12">
        <f>0</f>
        <v>0</v>
      </c>
      <c r="G316" s="12" t="s">
        <v>15</v>
      </c>
      <c r="H316" s="12">
        <f>0</f>
        <v>0</v>
      </c>
    </row>
    <row r="317" spans="1:8" x14ac:dyDescent="0.25">
      <c r="A317" s="36"/>
      <c r="B317" s="36"/>
      <c r="C317" s="22" t="s">
        <v>14</v>
      </c>
      <c r="D317" s="23" t="s">
        <v>42</v>
      </c>
      <c r="E317" s="3">
        <f>E318+E330</f>
        <v>539618.30999999994</v>
      </c>
      <c r="F317" s="3">
        <f>F318+F330</f>
        <v>533212.20447999984</v>
      </c>
      <c r="G317" s="3" t="s">
        <v>602</v>
      </c>
      <c r="H317" s="3">
        <f>H318+H330</f>
        <v>533212.20447999984</v>
      </c>
    </row>
    <row r="318" spans="1:8" ht="31.5" x14ac:dyDescent="0.25">
      <c r="A318" s="36"/>
      <c r="B318" s="36"/>
      <c r="C318" s="24" t="s">
        <v>16</v>
      </c>
      <c r="D318" s="25" t="s">
        <v>43</v>
      </c>
      <c r="E318" s="12">
        <f>E319+E320+E321+E322+E323+E324+E325+E326+E327+E328+E329</f>
        <v>539523.30999999994</v>
      </c>
      <c r="F318" s="12">
        <f>F319+F320+F321+F322+F323+F324+F325+F326+F327+F328+F329</f>
        <v>533117.20447999984</v>
      </c>
      <c r="G318" s="12" t="s">
        <v>602</v>
      </c>
      <c r="H318" s="12">
        <f>H319+H320+H321+H322+H323+H324+H325+H326+H327+H328+H329</f>
        <v>533117.20447999984</v>
      </c>
    </row>
    <row r="319" spans="1:8" x14ac:dyDescent="0.25">
      <c r="A319" s="36"/>
      <c r="B319" s="36"/>
      <c r="C319" s="24" t="s">
        <v>29</v>
      </c>
      <c r="D319" s="25" t="s">
        <v>386</v>
      </c>
      <c r="E319" s="12">
        <f>8630.66</f>
        <v>8630.66</v>
      </c>
      <c r="F319" s="12">
        <f>8319.54488</f>
        <v>8319.5448799999995</v>
      </c>
      <c r="G319" s="12" t="s">
        <v>371</v>
      </c>
      <c r="H319" s="12">
        <f>8319.54488</f>
        <v>8319.5448799999995</v>
      </c>
    </row>
    <row r="320" spans="1:8" x14ac:dyDescent="0.25">
      <c r="A320" s="36"/>
      <c r="B320" s="36"/>
      <c r="C320" s="24" t="s">
        <v>30</v>
      </c>
      <c r="D320" s="25" t="s">
        <v>387</v>
      </c>
      <c r="E320" s="12">
        <f>286652.44</f>
        <v>286652.44</v>
      </c>
      <c r="F320" s="12">
        <f>281783.50332</f>
        <v>281783.50332000002</v>
      </c>
      <c r="G320" s="12" t="s">
        <v>550</v>
      </c>
      <c r="H320" s="12">
        <f>281783.50332</f>
        <v>281783.50332000002</v>
      </c>
    </row>
    <row r="321" spans="1:8" x14ac:dyDescent="0.25">
      <c r="A321" s="36"/>
      <c r="B321" s="36"/>
      <c r="C321" s="24" t="s">
        <v>39</v>
      </c>
      <c r="D321" s="25" t="s">
        <v>388</v>
      </c>
      <c r="E321" s="12">
        <f>41680.28</f>
        <v>41680.28</v>
      </c>
      <c r="F321" s="12">
        <f>41213.30116</f>
        <v>41213.301160000003</v>
      </c>
      <c r="G321" s="12" t="s">
        <v>603</v>
      </c>
      <c r="H321" s="12">
        <f>41213.30116</f>
        <v>41213.301160000003</v>
      </c>
    </row>
    <row r="322" spans="1:8" ht="47.25" x14ac:dyDescent="0.25">
      <c r="A322" s="36"/>
      <c r="B322" s="36"/>
      <c r="C322" s="24" t="s">
        <v>49</v>
      </c>
      <c r="D322" s="25" t="s">
        <v>389</v>
      </c>
      <c r="E322" s="12">
        <f>84567.75</f>
        <v>84567.75</v>
      </c>
      <c r="F322" s="12">
        <f>84466.56233</f>
        <v>84466.562330000001</v>
      </c>
      <c r="G322" s="12" t="s">
        <v>372</v>
      </c>
      <c r="H322" s="12">
        <f>84466.56233</f>
        <v>84466.562330000001</v>
      </c>
    </row>
    <row r="323" spans="1:8" ht="47.25" x14ac:dyDescent="0.25">
      <c r="A323" s="36"/>
      <c r="B323" s="36"/>
      <c r="C323" s="24" t="s">
        <v>50</v>
      </c>
      <c r="D323" s="25" t="s">
        <v>390</v>
      </c>
      <c r="E323" s="12">
        <f>66137.34</f>
        <v>66137.34</v>
      </c>
      <c r="F323" s="12">
        <f>66107.47159</f>
        <v>66107.471590000001</v>
      </c>
      <c r="G323" s="12" t="s">
        <v>372</v>
      </c>
      <c r="H323" s="12">
        <f>66107.47159</f>
        <v>66107.471590000001</v>
      </c>
    </row>
    <row r="324" spans="1:8" ht="31.5" x14ac:dyDescent="0.25">
      <c r="A324" s="36"/>
      <c r="B324" s="36"/>
      <c r="C324" s="24" t="s">
        <v>58</v>
      </c>
      <c r="D324" s="25" t="s">
        <v>391</v>
      </c>
      <c r="E324" s="12">
        <f>36.5</f>
        <v>36.5</v>
      </c>
      <c r="F324" s="12">
        <f>36.5</f>
        <v>36.5</v>
      </c>
      <c r="G324" s="12" t="s">
        <v>18</v>
      </c>
      <c r="H324" s="12">
        <f>36.5</f>
        <v>36.5</v>
      </c>
    </row>
    <row r="325" spans="1:8" x14ac:dyDescent="0.25">
      <c r="A325" s="36"/>
      <c r="B325" s="36"/>
      <c r="C325" s="24" t="s">
        <v>24</v>
      </c>
      <c r="D325" s="25" t="s">
        <v>392</v>
      </c>
      <c r="E325" s="12">
        <f>0</f>
        <v>0</v>
      </c>
      <c r="F325" s="12">
        <f>0</f>
        <v>0</v>
      </c>
      <c r="G325" s="12" t="s">
        <v>15</v>
      </c>
      <c r="H325" s="12">
        <f>0</f>
        <v>0</v>
      </c>
    </row>
    <row r="326" spans="1:8" ht="31.5" x14ac:dyDescent="0.25">
      <c r="A326" s="36"/>
      <c r="B326" s="36"/>
      <c r="C326" s="24" t="s">
        <v>59</v>
      </c>
      <c r="D326" s="25" t="s">
        <v>393</v>
      </c>
      <c r="E326" s="12">
        <f>872.48</f>
        <v>872.48</v>
      </c>
      <c r="F326" s="12">
        <f>865.061</f>
        <v>865.06100000000004</v>
      </c>
      <c r="G326" s="12" t="s">
        <v>394</v>
      </c>
      <c r="H326" s="12">
        <f>865.061</f>
        <v>865.06100000000004</v>
      </c>
    </row>
    <row r="327" spans="1:8" ht="31.5" x14ac:dyDescent="0.25">
      <c r="A327" s="36"/>
      <c r="B327" s="36"/>
      <c r="C327" s="24" t="s">
        <v>395</v>
      </c>
      <c r="D327" s="25" t="s">
        <v>396</v>
      </c>
      <c r="E327" s="12">
        <f>31019.55</f>
        <v>31019.55</v>
      </c>
      <c r="F327" s="12">
        <f>31019.55</f>
        <v>31019.55</v>
      </c>
      <c r="G327" s="12" t="s">
        <v>18</v>
      </c>
      <c r="H327" s="12">
        <f>31019.55</f>
        <v>31019.55</v>
      </c>
    </row>
    <row r="328" spans="1:8" ht="31.5" x14ac:dyDescent="0.25">
      <c r="A328" s="36"/>
      <c r="B328" s="36"/>
      <c r="C328" s="24" t="s">
        <v>31</v>
      </c>
      <c r="D328" s="25" t="s">
        <v>397</v>
      </c>
      <c r="E328" s="12">
        <f>17926.31</f>
        <v>17926.310000000001</v>
      </c>
      <c r="F328" s="12">
        <f>17754.66489</f>
        <v>17754.66489</v>
      </c>
      <c r="G328" s="12" t="s">
        <v>600</v>
      </c>
      <c r="H328" s="12">
        <f>17754.66489</f>
        <v>17754.66489</v>
      </c>
    </row>
    <row r="329" spans="1:8" ht="78.75" x14ac:dyDescent="0.25">
      <c r="A329" s="36"/>
      <c r="B329" s="36"/>
      <c r="C329" s="24" t="s">
        <v>60</v>
      </c>
      <c r="D329" s="25" t="s">
        <v>398</v>
      </c>
      <c r="E329" s="12">
        <f>2000</f>
        <v>2000</v>
      </c>
      <c r="F329" s="12">
        <f>1551.04531</f>
        <v>1551.04531</v>
      </c>
      <c r="G329" s="12" t="s">
        <v>604</v>
      </c>
      <c r="H329" s="12">
        <f>1551.04531</f>
        <v>1551.04531</v>
      </c>
    </row>
    <row r="330" spans="1:8" ht="31.5" x14ac:dyDescent="0.25">
      <c r="A330" s="36"/>
      <c r="B330" s="36"/>
      <c r="C330" s="24" t="s">
        <v>33</v>
      </c>
      <c r="D330" s="25" t="s">
        <v>399</v>
      </c>
      <c r="E330" s="12">
        <f>E331</f>
        <v>95</v>
      </c>
      <c r="F330" s="12">
        <f>F331</f>
        <v>95</v>
      </c>
      <c r="G330" s="12" t="s">
        <v>18</v>
      </c>
      <c r="H330" s="12">
        <f>H331</f>
        <v>95</v>
      </c>
    </row>
    <row r="331" spans="1:8" ht="31.5" x14ac:dyDescent="0.25">
      <c r="A331" s="36"/>
      <c r="B331" s="36"/>
      <c r="C331" s="24" t="s">
        <v>34</v>
      </c>
      <c r="D331" s="25" t="s">
        <v>400</v>
      </c>
      <c r="E331" s="12">
        <f>95</f>
        <v>95</v>
      </c>
      <c r="F331" s="12">
        <f>95</f>
        <v>95</v>
      </c>
      <c r="G331" s="12" t="s">
        <v>18</v>
      </c>
      <c r="H331" s="12">
        <f>95</f>
        <v>95</v>
      </c>
    </row>
    <row r="332" spans="1:8" ht="19.5" x14ac:dyDescent="0.25">
      <c r="A332" s="37"/>
      <c r="B332" s="37"/>
      <c r="C332" s="17"/>
      <c r="D332" s="20" t="s">
        <v>6</v>
      </c>
      <c r="E332" s="21">
        <f>E303+E312+E314+E317</f>
        <v>614993.89999999991</v>
      </c>
      <c r="F332" s="21">
        <f>F303+F312+F314+F317</f>
        <v>608053.16886999982</v>
      </c>
      <c r="G332" s="21" t="s">
        <v>603</v>
      </c>
      <c r="H332" s="21">
        <f>H303+H312+H314+H317</f>
        <v>608053.16886999982</v>
      </c>
    </row>
    <row r="333" spans="1:8" ht="53.25" customHeight="1" x14ac:dyDescent="0.25">
      <c r="A333" s="35">
        <v>13</v>
      </c>
      <c r="B333" s="35" t="s">
        <v>354</v>
      </c>
      <c r="C333" s="17" t="s">
        <v>21</v>
      </c>
      <c r="D333" s="2" t="s">
        <v>401</v>
      </c>
      <c r="E333" s="3">
        <f>E334+E341</f>
        <v>66908.032000000007</v>
      </c>
      <c r="F333" s="3">
        <f>F334+F341</f>
        <v>66883.227320000005</v>
      </c>
      <c r="G333" s="3" t="s">
        <v>638</v>
      </c>
      <c r="H333" s="3">
        <f>H334+H341</f>
        <v>66883.227320000005</v>
      </c>
    </row>
    <row r="334" spans="1:8" ht="31.5" x14ac:dyDescent="0.25">
      <c r="A334" s="36"/>
      <c r="B334" s="36"/>
      <c r="C334" s="1" t="s">
        <v>16</v>
      </c>
      <c r="D334" s="19" t="s">
        <v>402</v>
      </c>
      <c r="E334" s="12">
        <f>E335+E336+E337+E338+E339+E340</f>
        <v>56558.834000000003</v>
      </c>
      <c r="F334" s="12">
        <f>F335+F336+F337+F338+F339+F340</f>
        <v>56558.654000000002</v>
      </c>
      <c r="G334" s="12" t="s">
        <v>18</v>
      </c>
      <c r="H334" s="12">
        <f>H335+H336+H337+H338+H339+H340</f>
        <v>56558.654000000002</v>
      </c>
    </row>
    <row r="335" spans="1:8" ht="63" x14ac:dyDescent="0.25">
      <c r="A335" s="36"/>
      <c r="B335" s="36"/>
      <c r="C335" s="24" t="s">
        <v>29</v>
      </c>
      <c r="D335" s="25" t="s">
        <v>403</v>
      </c>
      <c r="E335" s="12">
        <v>270</v>
      </c>
      <c r="F335" s="12">
        <v>270</v>
      </c>
      <c r="G335" s="12" t="s">
        <v>637</v>
      </c>
      <c r="H335" s="12">
        <v>270</v>
      </c>
    </row>
    <row r="336" spans="1:8" ht="63" x14ac:dyDescent="0.25">
      <c r="A336" s="36"/>
      <c r="B336" s="36"/>
      <c r="C336" s="24" t="s">
        <v>30</v>
      </c>
      <c r="D336" s="25" t="s">
        <v>404</v>
      </c>
      <c r="E336" s="12">
        <v>1323</v>
      </c>
      <c r="F336" s="12">
        <v>1323</v>
      </c>
      <c r="G336" s="12" t="s">
        <v>627</v>
      </c>
      <c r="H336" s="12">
        <v>1323</v>
      </c>
    </row>
    <row r="337" spans="1:8" ht="63" x14ac:dyDescent="0.25">
      <c r="A337" s="36"/>
      <c r="B337" s="36"/>
      <c r="C337" s="24" t="s">
        <v>22</v>
      </c>
      <c r="D337" s="25" t="s">
        <v>405</v>
      </c>
      <c r="E337" s="12">
        <v>44178.720000000001</v>
      </c>
      <c r="F337" s="12">
        <v>44178.720000000001</v>
      </c>
      <c r="G337" s="12" t="s">
        <v>18</v>
      </c>
      <c r="H337" s="12">
        <v>44178.720000000001</v>
      </c>
    </row>
    <row r="338" spans="1:8" ht="63" x14ac:dyDescent="0.25">
      <c r="A338" s="36"/>
      <c r="B338" s="36"/>
      <c r="C338" s="24" t="s">
        <v>23</v>
      </c>
      <c r="D338" s="25" t="s">
        <v>406</v>
      </c>
      <c r="E338" s="12">
        <v>0</v>
      </c>
      <c r="F338" s="12">
        <v>0</v>
      </c>
      <c r="G338" s="12" t="s">
        <v>15</v>
      </c>
      <c r="H338" s="12">
        <v>0</v>
      </c>
    </row>
    <row r="339" spans="1:8" ht="47.25" x14ac:dyDescent="0.25">
      <c r="A339" s="36"/>
      <c r="B339" s="36"/>
      <c r="C339" s="24" t="s">
        <v>39</v>
      </c>
      <c r="D339" s="25" t="s">
        <v>407</v>
      </c>
      <c r="E339" s="12">
        <v>6834.6779999999999</v>
      </c>
      <c r="F339" s="12">
        <v>6834.6779999999999</v>
      </c>
      <c r="G339" s="12" t="s">
        <v>605</v>
      </c>
      <c r="H339" s="12">
        <v>6834.6779999999999</v>
      </c>
    </row>
    <row r="340" spans="1:8" ht="94.5" x14ac:dyDescent="0.25">
      <c r="A340" s="36"/>
      <c r="B340" s="36"/>
      <c r="C340" s="24" t="s">
        <v>50</v>
      </c>
      <c r="D340" s="25" t="s">
        <v>408</v>
      </c>
      <c r="E340" s="12">
        <v>3952.4360000000001</v>
      </c>
      <c r="F340" s="12">
        <v>3952.2559999999999</v>
      </c>
      <c r="G340" s="12" t="s">
        <v>18</v>
      </c>
      <c r="H340" s="12">
        <v>3952.2559999999999</v>
      </c>
    </row>
    <row r="341" spans="1:8" ht="31.5" x14ac:dyDescent="0.25">
      <c r="A341" s="36"/>
      <c r="B341" s="36"/>
      <c r="C341" s="1" t="s">
        <v>51</v>
      </c>
      <c r="D341" s="19" t="s">
        <v>409</v>
      </c>
      <c r="E341" s="12">
        <f>E342+E343+E344</f>
        <v>10349.198</v>
      </c>
      <c r="F341" s="12">
        <f>F342+F343+F344</f>
        <v>10324.573320000001</v>
      </c>
      <c r="G341" s="12" t="s">
        <v>636</v>
      </c>
      <c r="H341" s="12">
        <f>H342+H343+H344</f>
        <v>10324.573320000001</v>
      </c>
    </row>
    <row r="342" spans="1:8" ht="63" x14ac:dyDescent="0.25">
      <c r="A342" s="36"/>
      <c r="B342" s="36"/>
      <c r="C342" s="24" t="s">
        <v>52</v>
      </c>
      <c r="D342" s="25" t="s">
        <v>410</v>
      </c>
      <c r="E342" s="12">
        <v>600</v>
      </c>
      <c r="F342" s="12">
        <v>599.70403999999996</v>
      </c>
      <c r="G342" s="12" t="s">
        <v>635</v>
      </c>
      <c r="H342" s="12">
        <v>599.70403999999996</v>
      </c>
    </row>
    <row r="343" spans="1:8" ht="110.25" x14ac:dyDescent="0.25">
      <c r="A343" s="36"/>
      <c r="B343" s="36"/>
      <c r="C343" s="24" t="s">
        <v>53</v>
      </c>
      <c r="D343" s="25" t="s">
        <v>411</v>
      </c>
      <c r="E343" s="12">
        <v>9247.9979999999996</v>
      </c>
      <c r="F343" s="12">
        <v>9223.6692800000001</v>
      </c>
      <c r="G343" s="12" t="s">
        <v>634</v>
      </c>
      <c r="H343" s="12">
        <v>9223.6692800000001</v>
      </c>
    </row>
    <row r="344" spans="1:8" ht="63" x14ac:dyDescent="0.25">
      <c r="A344" s="36"/>
      <c r="B344" s="36"/>
      <c r="C344" s="24" t="s">
        <v>54</v>
      </c>
      <c r="D344" s="25" t="s">
        <v>412</v>
      </c>
      <c r="E344" s="12">
        <v>501.2</v>
      </c>
      <c r="F344" s="12">
        <v>501.2</v>
      </c>
      <c r="G344" s="12" t="s">
        <v>633</v>
      </c>
      <c r="H344" s="12">
        <v>501.2</v>
      </c>
    </row>
    <row r="345" spans="1:8" ht="31.5" x14ac:dyDescent="0.25">
      <c r="A345" s="36"/>
      <c r="B345" s="36"/>
      <c r="C345" s="17" t="s">
        <v>28</v>
      </c>
      <c r="D345" s="2" t="s">
        <v>413</v>
      </c>
      <c r="E345" s="3">
        <f>E346</f>
        <v>0</v>
      </c>
      <c r="F345" s="3">
        <f>F346</f>
        <v>0</v>
      </c>
      <c r="G345" s="3" t="s">
        <v>629</v>
      </c>
      <c r="H345" s="3">
        <f>H346</f>
        <v>0</v>
      </c>
    </row>
    <row r="346" spans="1:8" ht="31.5" x14ac:dyDescent="0.25">
      <c r="A346" s="36"/>
      <c r="B346" s="36"/>
      <c r="C346" s="1" t="s">
        <v>13</v>
      </c>
      <c r="D346" s="19" t="s">
        <v>414</v>
      </c>
      <c r="E346" s="12">
        <f>E347+E348</f>
        <v>0</v>
      </c>
      <c r="F346" s="12">
        <f>F347+F348</f>
        <v>0</v>
      </c>
      <c r="G346" s="12" t="s">
        <v>15</v>
      </c>
      <c r="H346" s="12">
        <f>H347+H348</f>
        <v>0</v>
      </c>
    </row>
    <row r="347" spans="1:8" ht="47.25" x14ac:dyDescent="0.25">
      <c r="A347" s="36"/>
      <c r="B347" s="36"/>
      <c r="C347" s="24" t="s">
        <v>40</v>
      </c>
      <c r="D347" s="25" t="s">
        <v>606</v>
      </c>
      <c r="E347" s="12">
        <v>0</v>
      </c>
      <c r="F347" s="12">
        <v>0</v>
      </c>
      <c r="G347" s="12" t="s">
        <v>15</v>
      </c>
      <c r="H347" s="12">
        <v>0</v>
      </c>
    </row>
    <row r="348" spans="1:8" ht="31.5" x14ac:dyDescent="0.25">
      <c r="A348" s="36"/>
      <c r="B348" s="36"/>
      <c r="C348" s="24" t="s">
        <v>56</v>
      </c>
      <c r="D348" s="25" t="s">
        <v>607</v>
      </c>
      <c r="E348" s="12">
        <v>0</v>
      </c>
      <c r="F348" s="12">
        <v>0</v>
      </c>
      <c r="G348" s="12" t="s">
        <v>15</v>
      </c>
      <c r="H348" s="12">
        <v>0</v>
      </c>
    </row>
    <row r="349" spans="1:8" ht="31.5" x14ac:dyDescent="0.25">
      <c r="A349" s="36"/>
      <c r="B349" s="36"/>
      <c r="C349" s="17" t="s">
        <v>17</v>
      </c>
      <c r="D349" s="2" t="s">
        <v>415</v>
      </c>
      <c r="E349" s="3">
        <f>E350</f>
        <v>8631.33</v>
      </c>
      <c r="F349" s="3">
        <f>F350</f>
        <v>8631.33</v>
      </c>
      <c r="G349" s="3" t="s">
        <v>627</v>
      </c>
      <c r="H349" s="3">
        <f>H350</f>
        <v>8631.33</v>
      </c>
    </row>
    <row r="350" spans="1:8" ht="31.5" x14ac:dyDescent="0.25">
      <c r="A350" s="36"/>
      <c r="B350" s="36"/>
      <c r="C350" s="1" t="s">
        <v>13</v>
      </c>
      <c r="D350" s="19" t="s">
        <v>416</v>
      </c>
      <c r="E350" s="12">
        <f>E351</f>
        <v>8631.33</v>
      </c>
      <c r="F350" s="12">
        <f>F351</f>
        <v>8631.33</v>
      </c>
      <c r="G350" s="12" t="s">
        <v>627</v>
      </c>
      <c r="H350" s="12">
        <f>H351</f>
        <v>8631.33</v>
      </c>
    </row>
    <row r="351" spans="1:8" ht="47.25" x14ac:dyDescent="0.25">
      <c r="A351" s="36"/>
      <c r="B351" s="36"/>
      <c r="C351" s="24" t="s">
        <v>40</v>
      </c>
      <c r="D351" s="25" t="s">
        <v>417</v>
      </c>
      <c r="E351" s="12">
        <v>8631.33</v>
      </c>
      <c r="F351" s="12">
        <v>8631.33</v>
      </c>
      <c r="G351" s="12" t="s">
        <v>18</v>
      </c>
      <c r="H351" s="12">
        <v>8631.33</v>
      </c>
    </row>
    <row r="352" spans="1:8" x14ac:dyDescent="0.25">
      <c r="A352" s="36"/>
      <c r="B352" s="36"/>
      <c r="C352" s="17" t="s">
        <v>44</v>
      </c>
      <c r="D352" s="2" t="s">
        <v>418</v>
      </c>
      <c r="E352" s="3">
        <f>E353+E355</f>
        <v>3979.9160000000002</v>
      </c>
      <c r="F352" s="3">
        <f>F353+F355</f>
        <v>3979.9160000000002</v>
      </c>
      <c r="G352" s="3" t="s">
        <v>630</v>
      </c>
      <c r="H352" s="3">
        <f>H353+H355</f>
        <v>3979.9160000000002</v>
      </c>
    </row>
    <row r="353" spans="1:8" ht="31.5" x14ac:dyDescent="0.25">
      <c r="A353" s="36"/>
      <c r="B353" s="36"/>
      <c r="C353" s="1" t="s">
        <v>16</v>
      </c>
      <c r="D353" s="19" t="s">
        <v>419</v>
      </c>
      <c r="E353" s="12">
        <f>E354</f>
        <v>543.5</v>
      </c>
      <c r="F353" s="12">
        <f>F354</f>
        <v>543.5</v>
      </c>
      <c r="G353" s="12" t="s">
        <v>632</v>
      </c>
      <c r="H353" s="12">
        <f>H354</f>
        <v>543.5</v>
      </c>
    </row>
    <row r="354" spans="1:8" ht="31.5" x14ac:dyDescent="0.25">
      <c r="A354" s="36"/>
      <c r="B354" s="36"/>
      <c r="C354" s="24" t="s">
        <v>29</v>
      </c>
      <c r="D354" s="25" t="s">
        <v>420</v>
      </c>
      <c r="E354" s="12">
        <v>543.5</v>
      </c>
      <c r="F354" s="12">
        <v>543.5</v>
      </c>
      <c r="G354" s="12" t="s">
        <v>631</v>
      </c>
      <c r="H354" s="12">
        <v>543.5</v>
      </c>
    </row>
    <row r="355" spans="1:8" ht="78.75" x14ac:dyDescent="0.25">
      <c r="A355" s="36"/>
      <c r="B355" s="36"/>
      <c r="C355" s="1" t="s">
        <v>13</v>
      </c>
      <c r="D355" s="19" t="s">
        <v>421</v>
      </c>
      <c r="E355" s="12">
        <f>E356</f>
        <v>3436.4160000000002</v>
      </c>
      <c r="F355" s="12">
        <f>F356</f>
        <v>3436.4160000000002</v>
      </c>
      <c r="G355" s="12" t="s">
        <v>630</v>
      </c>
      <c r="H355" s="12">
        <f>H356</f>
        <v>3436.4160000000002</v>
      </c>
    </row>
    <row r="356" spans="1:8" ht="31.5" x14ac:dyDescent="0.25">
      <c r="A356" s="36"/>
      <c r="B356" s="36"/>
      <c r="C356" s="24" t="s">
        <v>45</v>
      </c>
      <c r="D356" s="25" t="s">
        <v>422</v>
      </c>
      <c r="E356" s="12">
        <v>3436.4160000000002</v>
      </c>
      <c r="F356" s="12">
        <v>3436.4160000000002</v>
      </c>
      <c r="G356" s="12" t="s">
        <v>630</v>
      </c>
      <c r="H356" s="12">
        <v>3436.4160000000002</v>
      </c>
    </row>
    <row r="357" spans="1:8" ht="31.5" x14ac:dyDescent="0.25">
      <c r="A357" s="36"/>
      <c r="B357" s="36"/>
      <c r="C357" s="17" t="s">
        <v>14</v>
      </c>
      <c r="D357" s="2" t="s">
        <v>423</v>
      </c>
      <c r="E357" s="3">
        <f>E358</f>
        <v>0</v>
      </c>
      <c r="F357" s="3">
        <f>F358</f>
        <v>0</v>
      </c>
      <c r="G357" s="3" t="s">
        <v>629</v>
      </c>
      <c r="H357" s="3">
        <f>H358</f>
        <v>0</v>
      </c>
    </row>
    <row r="358" spans="1:8" ht="31.5" x14ac:dyDescent="0.25">
      <c r="A358" s="36"/>
      <c r="B358" s="36"/>
      <c r="C358" s="1" t="s">
        <v>16</v>
      </c>
      <c r="D358" s="19" t="s">
        <v>424</v>
      </c>
      <c r="E358" s="12">
        <f>E359</f>
        <v>0</v>
      </c>
      <c r="F358" s="12">
        <f>F359</f>
        <v>0</v>
      </c>
      <c r="G358" s="12" t="s">
        <v>629</v>
      </c>
      <c r="H358" s="12">
        <f>H359</f>
        <v>0</v>
      </c>
    </row>
    <row r="359" spans="1:8" ht="31.5" x14ac:dyDescent="0.25">
      <c r="A359" s="36"/>
      <c r="B359" s="36"/>
      <c r="C359" s="24" t="s">
        <v>29</v>
      </c>
      <c r="D359" s="25" t="s">
        <v>608</v>
      </c>
      <c r="E359" s="12">
        <v>0</v>
      </c>
      <c r="F359" s="12">
        <v>0</v>
      </c>
      <c r="G359" s="12" t="s">
        <v>15</v>
      </c>
      <c r="H359" s="12">
        <v>0</v>
      </c>
    </row>
    <row r="360" spans="1:8" ht="31.5" x14ac:dyDescent="0.25">
      <c r="A360" s="36"/>
      <c r="B360" s="36"/>
      <c r="C360" s="17" t="s">
        <v>55</v>
      </c>
      <c r="D360" s="2" t="s">
        <v>42</v>
      </c>
      <c r="E360" s="3">
        <f>E361+E363</f>
        <v>8599.0239999999994</v>
      </c>
      <c r="F360" s="3">
        <f>F361+F363</f>
        <v>8599.0239999999994</v>
      </c>
      <c r="G360" s="3" t="s">
        <v>629</v>
      </c>
      <c r="H360" s="3">
        <f>H361+H363</f>
        <v>8599.0239999999994</v>
      </c>
    </row>
    <row r="361" spans="1:8" ht="31.5" x14ac:dyDescent="0.25">
      <c r="A361" s="36"/>
      <c r="B361" s="36"/>
      <c r="C361" s="1" t="s">
        <v>33</v>
      </c>
      <c r="D361" s="19" t="s">
        <v>425</v>
      </c>
      <c r="E361" s="12">
        <f>E362</f>
        <v>8598.65</v>
      </c>
      <c r="F361" s="12">
        <f>F362</f>
        <v>8598.65</v>
      </c>
      <c r="G361" s="12" t="s">
        <v>629</v>
      </c>
      <c r="H361" s="12">
        <f>H362</f>
        <v>8598.65</v>
      </c>
    </row>
    <row r="362" spans="1:8" ht="31.5" x14ac:dyDescent="0.25">
      <c r="A362" s="36"/>
      <c r="B362" s="36"/>
      <c r="C362" s="24" t="s">
        <v>34</v>
      </c>
      <c r="D362" s="25" t="s">
        <v>426</v>
      </c>
      <c r="E362" s="12">
        <v>8598.65</v>
      </c>
      <c r="F362" s="12">
        <v>8598.65</v>
      </c>
      <c r="G362" s="12" t="s">
        <v>629</v>
      </c>
      <c r="H362" s="12">
        <v>8598.65</v>
      </c>
    </row>
    <row r="363" spans="1:8" ht="31.5" x14ac:dyDescent="0.25">
      <c r="A363" s="36"/>
      <c r="B363" s="36"/>
      <c r="C363" s="1" t="s">
        <v>36</v>
      </c>
      <c r="D363" s="19" t="s">
        <v>427</v>
      </c>
      <c r="E363" s="12">
        <f>E364</f>
        <v>0.374</v>
      </c>
      <c r="F363" s="12">
        <f>F364</f>
        <v>0.374</v>
      </c>
      <c r="G363" s="12" t="s">
        <v>629</v>
      </c>
      <c r="H363" s="12">
        <f>H364</f>
        <v>0.374</v>
      </c>
    </row>
    <row r="364" spans="1:8" ht="31.5" x14ac:dyDescent="0.25">
      <c r="A364" s="36"/>
      <c r="B364" s="36"/>
      <c r="C364" s="24" t="s">
        <v>37</v>
      </c>
      <c r="D364" s="25" t="s">
        <v>428</v>
      </c>
      <c r="E364" s="12">
        <v>0.374</v>
      </c>
      <c r="F364" s="12">
        <v>0.374</v>
      </c>
      <c r="G364" s="12" t="s">
        <v>629</v>
      </c>
      <c r="H364" s="12">
        <v>0.374</v>
      </c>
    </row>
    <row r="365" spans="1:8" ht="18.75" x14ac:dyDescent="0.25">
      <c r="A365" s="37"/>
      <c r="B365" s="37"/>
      <c r="C365" s="18"/>
      <c r="D365" s="31" t="s">
        <v>6</v>
      </c>
      <c r="E365" s="32">
        <f>E333+E345+E349+E352+E357+E360</f>
        <v>88118.302000000011</v>
      </c>
      <c r="F365" s="32">
        <f>F333+F345+F349+F352+F357+F360</f>
        <v>88093.497320000009</v>
      </c>
      <c r="G365" s="32" t="s">
        <v>628</v>
      </c>
      <c r="H365" s="32">
        <f>H333+H345+H349+H352+H357+H360</f>
        <v>88093.497320000009</v>
      </c>
    </row>
    <row r="366" spans="1:8" ht="27" customHeight="1" x14ac:dyDescent="0.25">
      <c r="A366" s="35">
        <v>14</v>
      </c>
      <c r="B366" s="35" t="s">
        <v>355</v>
      </c>
      <c r="C366" s="22" t="s">
        <v>21</v>
      </c>
      <c r="D366" s="23" t="s">
        <v>429</v>
      </c>
      <c r="E366" s="3">
        <f>E367</f>
        <v>47220.05</v>
      </c>
      <c r="F366" s="3">
        <f>F367</f>
        <v>47220.044200000004</v>
      </c>
      <c r="G366" s="3" t="s">
        <v>18</v>
      </c>
      <c r="H366" s="3">
        <f>H367</f>
        <v>47220.044200000004</v>
      </c>
    </row>
    <row r="367" spans="1:8" ht="31.5" x14ac:dyDescent="0.25">
      <c r="A367" s="36"/>
      <c r="B367" s="36"/>
      <c r="C367" s="24" t="s">
        <v>38</v>
      </c>
      <c r="D367" s="25" t="s">
        <v>430</v>
      </c>
      <c r="E367" s="12">
        <f>E368+E369</f>
        <v>47220.05</v>
      </c>
      <c r="F367" s="12">
        <f>F368+F369</f>
        <v>47220.044200000004</v>
      </c>
      <c r="G367" s="12" t="s">
        <v>18</v>
      </c>
      <c r="H367" s="12">
        <f>H368+H369</f>
        <v>47220.044200000004</v>
      </c>
    </row>
    <row r="368" spans="1:8" ht="31.5" x14ac:dyDescent="0.25">
      <c r="A368" s="36"/>
      <c r="B368" s="36"/>
      <c r="C368" s="24" t="s">
        <v>46</v>
      </c>
      <c r="D368" s="25" t="s">
        <v>431</v>
      </c>
      <c r="E368" s="12">
        <f>17070.05+30150</f>
        <v>47220.05</v>
      </c>
      <c r="F368" s="12">
        <f>17070.0442+30150</f>
        <v>47220.044200000004</v>
      </c>
      <c r="G368" s="12" t="s">
        <v>18</v>
      </c>
      <c r="H368" s="12">
        <f>17070.0442+30150</f>
        <v>47220.044200000004</v>
      </c>
    </row>
    <row r="369" spans="1:8" ht="31.5" x14ac:dyDescent="0.25">
      <c r="A369" s="36"/>
      <c r="B369" s="36"/>
      <c r="C369" s="24" t="s">
        <v>47</v>
      </c>
      <c r="D369" s="25" t="s">
        <v>432</v>
      </c>
      <c r="E369" s="12">
        <f>0</f>
        <v>0</v>
      </c>
      <c r="F369" s="12">
        <f>0</f>
        <v>0</v>
      </c>
      <c r="G369" s="12" t="s">
        <v>609</v>
      </c>
      <c r="H369" s="12">
        <f>0</f>
        <v>0</v>
      </c>
    </row>
    <row r="370" spans="1:8" x14ac:dyDescent="0.25">
      <c r="A370" s="36"/>
      <c r="B370" s="36"/>
      <c r="C370" s="22" t="s">
        <v>28</v>
      </c>
      <c r="D370" s="23" t="s">
        <v>433</v>
      </c>
      <c r="E370" s="3">
        <f>E371+E373</f>
        <v>115492.1</v>
      </c>
      <c r="F370" s="3">
        <f>F371+F373</f>
        <v>114763.71262999999</v>
      </c>
      <c r="G370" s="3" t="s">
        <v>571</v>
      </c>
      <c r="H370" s="3">
        <f>H371+H373</f>
        <v>114763.71262999999</v>
      </c>
    </row>
    <row r="371" spans="1:8" ht="31.5" x14ac:dyDescent="0.25">
      <c r="A371" s="36"/>
      <c r="B371" s="36"/>
      <c r="C371" s="24" t="s">
        <v>13</v>
      </c>
      <c r="D371" s="25" t="s">
        <v>434</v>
      </c>
      <c r="E371" s="12">
        <f>E372</f>
        <v>7113.33</v>
      </c>
      <c r="F371" s="12">
        <f>F372</f>
        <v>7113.33</v>
      </c>
      <c r="G371" s="12" t="s">
        <v>18</v>
      </c>
      <c r="H371" s="12">
        <f>H372</f>
        <v>7113.33</v>
      </c>
    </row>
    <row r="372" spans="1:8" ht="47.25" x14ac:dyDescent="0.25">
      <c r="A372" s="36"/>
      <c r="B372" s="36"/>
      <c r="C372" s="24" t="s">
        <v>45</v>
      </c>
      <c r="D372" s="25" t="s">
        <v>435</v>
      </c>
      <c r="E372" s="12">
        <f>7113.33</f>
        <v>7113.33</v>
      </c>
      <c r="F372" s="12">
        <f>7113.33</f>
        <v>7113.33</v>
      </c>
      <c r="G372" s="12" t="s">
        <v>18</v>
      </c>
      <c r="H372" s="12">
        <f>7113.33</f>
        <v>7113.33</v>
      </c>
    </row>
    <row r="373" spans="1:8" ht="31.5" x14ac:dyDescent="0.25">
      <c r="A373" s="36"/>
      <c r="B373" s="36"/>
      <c r="C373" s="24" t="s">
        <v>36</v>
      </c>
      <c r="D373" s="25" t="s">
        <v>436</v>
      </c>
      <c r="E373" s="12">
        <f>E374+E375+E376+E377+E378</f>
        <v>108378.77</v>
      </c>
      <c r="F373" s="12">
        <f>F374+F375+F376+F377+F378</f>
        <v>107650.38262999999</v>
      </c>
      <c r="G373" s="12" t="s">
        <v>549</v>
      </c>
      <c r="H373" s="12">
        <f>H374+H375+H376+H377+H378</f>
        <v>107650.38262999999</v>
      </c>
    </row>
    <row r="374" spans="1:8" ht="31.5" x14ac:dyDescent="0.25">
      <c r="A374" s="36"/>
      <c r="B374" s="36"/>
      <c r="C374" s="24" t="s">
        <v>37</v>
      </c>
      <c r="D374" s="25" t="s">
        <v>437</v>
      </c>
      <c r="E374" s="12">
        <f>70876.69</f>
        <v>70876.69</v>
      </c>
      <c r="F374" s="12">
        <f>70876.69</f>
        <v>70876.69</v>
      </c>
      <c r="G374" s="12" t="s">
        <v>18</v>
      </c>
      <c r="H374" s="12">
        <f>70876.69</f>
        <v>70876.69</v>
      </c>
    </row>
    <row r="375" spans="1:8" ht="31.5" x14ac:dyDescent="0.25">
      <c r="A375" s="36"/>
      <c r="B375" s="36"/>
      <c r="C375" s="24" t="s">
        <v>48</v>
      </c>
      <c r="D375" s="25" t="s">
        <v>438</v>
      </c>
      <c r="E375" s="12">
        <f>2391.11</f>
        <v>2391.11</v>
      </c>
      <c r="F375" s="12">
        <f>2391.11</f>
        <v>2391.11</v>
      </c>
      <c r="G375" s="12" t="s">
        <v>18</v>
      </c>
      <c r="H375" s="12">
        <f>2391.11</f>
        <v>2391.11</v>
      </c>
    </row>
    <row r="376" spans="1:8" ht="31.5" x14ac:dyDescent="0.25">
      <c r="A376" s="36"/>
      <c r="B376" s="36"/>
      <c r="C376" s="24" t="s">
        <v>591</v>
      </c>
      <c r="D376" s="25" t="s">
        <v>610</v>
      </c>
      <c r="E376" s="12">
        <f>0</f>
        <v>0</v>
      </c>
      <c r="F376" s="12">
        <f>0</f>
        <v>0</v>
      </c>
      <c r="G376" s="12" t="s">
        <v>609</v>
      </c>
      <c r="H376" s="12">
        <f>0</f>
        <v>0</v>
      </c>
    </row>
    <row r="377" spans="1:8" ht="31.5" x14ac:dyDescent="0.25">
      <c r="A377" s="36"/>
      <c r="B377" s="36"/>
      <c r="C377" s="24" t="s">
        <v>439</v>
      </c>
      <c r="D377" s="25" t="s">
        <v>440</v>
      </c>
      <c r="E377" s="12">
        <f>32253.46</f>
        <v>32253.46</v>
      </c>
      <c r="F377" s="12">
        <f>31525.07263</f>
        <v>31525.072629999999</v>
      </c>
      <c r="G377" s="12" t="s">
        <v>611</v>
      </c>
      <c r="H377" s="12">
        <f>31525.07263</f>
        <v>31525.072629999999</v>
      </c>
    </row>
    <row r="378" spans="1:8" x14ac:dyDescent="0.25">
      <c r="A378" s="36"/>
      <c r="B378" s="36"/>
      <c r="C378" s="24" t="s">
        <v>441</v>
      </c>
      <c r="D378" s="25" t="s">
        <v>442</v>
      </c>
      <c r="E378" s="12">
        <f>2857.51</f>
        <v>2857.51</v>
      </c>
      <c r="F378" s="12">
        <f>2857.51</f>
        <v>2857.51</v>
      </c>
      <c r="G378" s="12" t="s">
        <v>18</v>
      </c>
      <c r="H378" s="12">
        <f>2857.51</f>
        <v>2857.51</v>
      </c>
    </row>
    <row r="379" spans="1:8" x14ac:dyDescent="0.25">
      <c r="A379" s="36"/>
      <c r="B379" s="36"/>
      <c r="C379" s="22" t="s">
        <v>14</v>
      </c>
      <c r="D379" s="23" t="s">
        <v>42</v>
      </c>
      <c r="E379" s="3">
        <f>E380</f>
        <v>80486.210000000006</v>
      </c>
      <c r="F379" s="3">
        <f>F380</f>
        <v>80486.210000000006</v>
      </c>
      <c r="G379" s="3" t="s">
        <v>18</v>
      </c>
      <c r="H379" s="3">
        <f>H380</f>
        <v>80486.210000000006</v>
      </c>
    </row>
    <row r="380" spans="1:8" ht="31.5" x14ac:dyDescent="0.25">
      <c r="A380" s="36"/>
      <c r="B380" s="36"/>
      <c r="C380" s="24" t="s">
        <v>16</v>
      </c>
      <c r="D380" s="25" t="s">
        <v>43</v>
      </c>
      <c r="E380" s="12">
        <f>E381</f>
        <v>80486.210000000006</v>
      </c>
      <c r="F380" s="12">
        <f>F381</f>
        <v>80486.210000000006</v>
      </c>
      <c r="G380" s="12" t="s">
        <v>18</v>
      </c>
      <c r="H380" s="12">
        <f>H381</f>
        <v>80486.210000000006</v>
      </c>
    </row>
    <row r="381" spans="1:8" ht="31.5" x14ac:dyDescent="0.25">
      <c r="A381" s="36"/>
      <c r="B381" s="36"/>
      <c r="C381" s="24" t="s">
        <v>30</v>
      </c>
      <c r="D381" s="25" t="s">
        <v>443</v>
      </c>
      <c r="E381" s="12">
        <f>80486.21</f>
        <v>80486.210000000006</v>
      </c>
      <c r="F381" s="12">
        <f>80486.21</f>
        <v>80486.210000000006</v>
      </c>
      <c r="G381" s="12" t="s">
        <v>18</v>
      </c>
      <c r="H381" s="12">
        <f>80486.21</f>
        <v>80486.210000000006</v>
      </c>
    </row>
    <row r="382" spans="1:8" ht="19.5" x14ac:dyDescent="0.25">
      <c r="A382" s="37"/>
      <c r="B382" s="37"/>
      <c r="C382" s="17"/>
      <c r="D382" s="20" t="s">
        <v>6</v>
      </c>
      <c r="E382" s="21">
        <f>E366+E370+E379</f>
        <v>243198.36000000004</v>
      </c>
      <c r="F382" s="21">
        <f>F366+F370+F379</f>
        <v>242469.96682999999</v>
      </c>
      <c r="G382" s="21" t="s">
        <v>554</v>
      </c>
      <c r="H382" s="21">
        <f>H366+H370+H379</f>
        <v>242469.96682999999</v>
      </c>
    </row>
    <row r="383" spans="1:8" ht="66.75" customHeight="1" x14ac:dyDescent="0.25">
      <c r="A383" s="35">
        <v>15</v>
      </c>
      <c r="B383" s="35" t="s">
        <v>356</v>
      </c>
      <c r="C383" s="22" t="s">
        <v>21</v>
      </c>
      <c r="D383" s="23" t="s">
        <v>444</v>
      </c>
      <c r="E383" s="3">
        <f>E384+E386</f>
        <v>5478.3040000000001</v>
      </c>
      <c r="F383" s="3">
        <f>F384+F386</f>
        <v>5293.3040000000001</v>
      </c>
      <c r="G383" s="3" t="s">
        <v>563</v>
      </c>
      <c r="H383" s="3">
        <f>H384+H386</f>
        <v>5293.3040000000001</v>
      </c>
    </row>
    <row r="384" spans="1:8" ht="31.5" x14ac:dyDescent="0.25">
      <c r="A384" s="36"/>
      <c r="B384" s="36"/>
      <c r="C384" s="24" t="s">
        <v>16</v>
      </c>
      <c r="D384" s="25" t="s">
        <v>445</v>
      </c>
      <c r="E384" s="12">
        <f>E385</f>
        <v>4625</v>
      </c>
      <c r="F384" s="12">
        <f>F385</f>
        <v>4625</v>
      </c>
      <c r="G384" s="12" t="s">
        <v>18</v>
      </c>
      <c r="H384" s="12">
        <f>H385</f>
        <v>4625</v>
      </c>
    </row>
    <row r="385" spans="1:8" ht="47.25" x14ac:dyDescent="0.25">
      <c r="A385" s="36"/>
      <c r="B385" s="36"/>
      <c r="C385" s="24" t="s">
        <v>29</v>
      </c>
      <c r="D385" s="25" t="s">
        <v>612</v>
      </c>
      <c r="E385" s="12">
        <f>232+4393</f>
        <v>4625</v>
      </c>
      <c r="F385" s="12">
        <f>232+4393</f>
        <v>4625</v>
      </c>
      <c r="G385" s="12" t="s">
        <v>18</v>
      </c>
      <c r="H385" s="12">
        <f>232+4393</f>
        <v>4625</v>
      </c>
    </row>
    <row r="386" spans="1:8" ht="47.25" x14ac:dyDescent="0.25">
      <c r="A386" s="36"/>
      <c r="B386" s="36"/>
      <c r="C386" s="24" t="s">
        <v>13</v>
      </c>
      <c r="D386" s="25" t="s">
        <v>446</v>
      </c>
      <c r="E386" s="12">
        <f>E387+E388</f>
        <v>853.30399999999997</v>
      </c>
      <c r="F386" s="12">
        <f>F387+F388</f>
        <v>668.30399999999997</v>
      </c>
      <c r="G386" s="12" t="s">
        <v>613</v>
      </c>
      <c r="H386" s="12">
        <f>H387+H388</f>
        <v>668.30399999999997</v>
      </c>
    </row>
    <row r="387" spans="1:8" ht="94.5" x14ac:dyDescent="0.25">
      <c r="A387" s="36"/>
      <c r="B387" s="36"/>
      <c r="C387" s="24" t="s">
        <v>40</v>
      </c>
      <c r="D387" s="25" t="s">
        <v>614</v>
      </c>
      <c r="E387" s="12">
        <f>845</f>
        <v>845</v>
      </c>
      <c r="F387" s="12">
        <f>660</f>
        <v>660</v>
      </c>
      <c r="G387" s="12" t="s">
        <v>615</v>
      </c>
      <c r="H387" s="12">
        <f>660</f>
        <v>660</v>
      </c>
    </row>
    <row r="388" spans="1:8" ht="94.5" x14ac:dyDescent="0.25">
      <c r="A388" s="36"/>
      <c r="B388" s="36"/>
      <c r="C388" s="24" t="s">
        <v>92</v>
      </c>
      <c r="D388" s="25" t="s">
        <v>447</v>
      </c>
      <c r="E388" s="12">
        <f>8.304</f>
        <v>8.3040000000000003</v>
      </c>
      <c r="F388" s="12">
        <f>8.304</f>
        <v>8.3040000000000003</v>
      </c>
      <c r="G388" s="12" t="s">
        <v>18</v>
      </c>
      <c r="H388" s="12">
        <f>8.304</f>
        <v>8.3040000000000003</v>
      </c>
    </row>
    <row r="389" spans="1:8" ht="47.25" x14ac:dyDescent="0.25">
      <c r="A389" s="36"/>
      <c r="B389" s="36"/>
      <c r="C389" s="22" t="s">
        <v>28</v>
      </c>
      <c r="D389" s="23" t="s">
        <v>448</v>
      </c>
      <c r="E389" s="3">
        <f>E390+E396+E398+E402</f>
        <v>12223.270390000001</v>
      </c>
      <c r="F389" s="3">
        <f>F390+F396+F398+F402</f>
        <v>11632.332999999999</v>
      </c>
      <c r="G389" s="3" t="s">
        <v>616</v>
      </c>
      <c r="H389" s="3">
        <f>H390+H396+H398+H402</f>
        <v>11632.332999999999</v>
      </c>
    </row>
    <row r="390" spans="1:8" x14ac:dyDescent="0.25">
      <c r="A390" s="36"/>
      <c r="B390" s="36"/>
      <c r="C390" s="24" t="s">
        <v>16</v>
      </c>
      <c r="D390" s="25" t="s">
        <v>449</v>
      </c>
      <c r="E390" s="12">
        <f>E391+E392+E393+E394+E395</f>
        <v>7331.3093799999997</v>
      </c>
      <c r="F390" s="12">
        <f>F391+F392+F393+F394+F395</f>
        <v>6941.4848099999999</v>
      </c>
      <c r="G390" s="12" t="s">
        <v>558</v>
      </c>
      <c r="H390" s="12">
        <f>H391+H392+H393+H394+H395</f>
        <v>6941.4848099999999</v>
      </c>
    </row>
    <row r="391" spans="1:8" ht="47.25" x14ac:dyDescent="0.25">
      <c r="A391" s="36"/>
      <c r="B391" s="36"/>
      <c r="C391" s="24" t="s">
        <v>29</v>
      </c>
      <c r="D391" s="25" t="s">
        <v>450</v>
      </c>
      <c r="E391" s="12">
        <f>0</f>
        <v>0</v>
      </c>
      <c r="F391" s="12">
        <f>0</f>
        <v>0</v>
      </c>
      <c r="G391" s="12" t="s">
        <v>15</v>
      </c>
      <c r="H391" s="12">
        <f>0</f>
        <v>0</v>
      </c>
    </row>
    <row r="392" spans="1:8" ht="47.25" x14ac:dyDescent="0.25">
      <c r="A392" s="36"/>
      <c r="B392" s="36"/>
      <c r="C392" s="24" t="s">
        <v>30</v>
      </c>
      <c r="D392" s="25" t="s">
        <v>451</v>
      </c>
      <c r="E392" s="12">
        <f>1736.01667</f>
        <v>1736.01667</v>
      </c>
      <c r="F392" s="12">
        <f>1555.33736</f>
        <v>1555.33736</v>
      </c>
      <c r="G392" s="12" t="s">
        <v>360</v>
      </c>
      <c r="H392" s="12">
        <f>1555.33736</f>
        <v>1555.33736</v>
      </c>
    </row>
    <row r="393" spans="1:8" ht="78.75" x14ac:dyDescent="0.25">
      <c r="A393" s="36"/>
      <c r="B393" s="36"/>
      <c r="C393" s="24" t="s">
        <v>22</v>
      </c>
      <c r="D393" s="25" t="s">
        <v>452</v>
      </c>
      <c r="E393" s="12">
        <f>0</f>
        <v>0</v>
      </c>
      <c r="F393" s="12">
        <f>0</f>
        <v>0</v>
      </c>
      <c r="G393" s="12" t="s">
        <v>15</v>
      </c>
      <c r="H393" s="12">
        <f>0</f>
        <v>0</v>
      </c>
    </row>
    <row r="394" spans="1:8" x14ac:dyDescent="0.25">
      <c r="A394" s="36"/>
      <c r="B394" s="36"/>
      <c r="C394" s="24" t="s">
        <v>23</v>
      </c>
      <c r="D394" s="25" t="s">
        <v>453</v>
      </c>
      <c r="E394" s="12">
        <f>5595.29271</f>
        <v>5595.2927099999997</v>
      </c>
      <c r="F394" s="12">
        <f>5386.14745</f>
        <v>5386.1474500000004</v>
      </c>
      <c r="G394" s="12" t="s">
        <v>617</v>
      </c>
      <c r="H394" s="12">
        <f>5386.14745</f>
        <v>5386.1474500000004</v>
      </c>
    </row>
    <row r="395" spans="1:8" ht="88.5" customHeight="1" x14ac:dyDescent="0.25">
      <c r="A395" s="36"/>
      <c r="B395" s="36"/>
      <c r="C395" s="24" t="s">
        <v>39</v>
      </c>
      <c r="D395" s="25" t="s">
        <v>618</v>
      </c>
      <c r="E395" s="12">
        <f>0</f>
        <v>0</v>
      </c>
      <c r="F395" s="12">
        <f>0</f>
        <v>0</v>
      </c>
      <c r="G395" s="12" t="s">
        <v>15</v>
      </c>
      <c r="H395" s="12">
        <f>0</f>
        <v>0</v>
      </c>
    </row>
    <row r="396" spans="1:8" ht="19.5" customHeight="1" x14ac:dyDescent="0.25">
      <c r="A396" s="36"/>
      <c r="B396" s="36"/>
      <c r="C396" s="24" t="s">
        <v>13</v>
      </c>
      <c r="D396" s="25" t="s">
        <v>454</v>
      </c>
      <c r="E396" s="12">
        <f>E397</f>
        <v>1285.93815</v>
      </c>
      <c r="F396" s="12">
        <f>F397</f>
        <v>1085.41633</v>
      </c>
      <c r="G396" s="12" t="s">
        <v>619</v>
      </c>
      <c r="H396" s="12">
        <f>H397</f>
        <v>1085.41633</v>
      </c>
    </row>
    <row r="397" spans="1:8" ht="194.25" customHeight="1" x14ac:dyDescent="0.25">
      <c r="A397" s="36"/>
      <c r="B397" s="36"/>
      <c r="C397" s="24" t="s">
        <v>40</v>
      </c>
      <c r="D397" s="25" t="s">
        <v>455</v>
      </c>
      <c r="E397" s="12">
        <f>1285.93815</f>
        <v>1285.93815</v>
      </c>
      <c r="F397" s="12">
        <f>1085.41633</f>
        <v>1085.41633</v>
      </c>
      <c r="G397" s="12" t="s">
        <v>619</v>
      </c>
      <c r="H397" s="12">
        <f>1085.41633</f>
        <v>1085.41633</v>
      </c>
    </row>
    <row r="398" spans="1:8" x14ac:dyDescent="0.25">
      <c r="A398" s="36"/>
      <c r="B398" s="36"/>
      <c r="C398" s="24" t="s">
        <v>33</v>
      </c>
      <c r="D398" s="25" t="s">
        <v>456</v>
      </c>
      <c r="E398" s="12">
        <f>E399+E400+E401</f>
        <v>3606.02286</v>
      </c>
      <c r="F398" s="12">
        <f>F399+F400+F401</f>
        <v>3605.4318599999997</v>
      </c>
      <c r="G398" s="12" t="s">
        <v>600</v>
      </c>
      <c r="H398" s="12">
        <f>H399+H400+H401</f>
        <v>3605.4318599999997</v>
      </c>
    </row>
    <row r="399" spans="1:8" x14ac:dyDescent="0.25">
      <c r="A399" s="36"/>
      <c r="B399" s="36"/>
      <c r="C399" s="24" t="s">
        <v>34</v>
      </c>
      <c r="D399" s="25" t="s">
        <v>457</v>
      </c>
      <c r="E399" s="12">
        <f>1207.13886</f>
        <v>1207.13886</v>
      </c>
      <c r="F399" s="12">
        <f>1207.04786</f>
        <v>1207.0478599999999</v>
      </c>
      <c r="G399" s="12" t="s">
        <v>18</v>
      </c>
      <c r="H399" s="12">
        <f>1207.04786</f>
        <v>1207.0478599999999</v>
      </c>
    </row>
    <row r="400" spans="1:8" ht="63" x14ac:dyDescent="0.25">
      <c r="A400" s="36"/>
      <c r="B400" s="36"/>
      <c r="C400" s="24" t="s">
        <v>35</v>
      </c>
      <c r="D400" s="25" t="s">
        <v>458</v>
      </c>
      <c r="E400" s="12">
        <f>0</f>
        <v>0</v>
      </c>
      <c r="F400" s="12">
        <f>0</f>
        <v>0</v>
      </c>
      <c r="G400" s="12" t="s">
        <v>15</v>
      </c>
      <c r="H400" s="12">
        <f>0</f>
        <v>0</v>
      </c>
    </row>
    <row r="401" spans="1:8" ht="47.25" x14ac:dyDescent="0.25">
      <c r="A401" s="36"/>
      <c r="B401" s="36"/>
      <c r="C401" s="24" t="s">
        <v>41</v>
      </c>
      <c r="D401" s="25" t="s">
        <v>459</v>
      </c>
      <c r="E401" s="12">
        <f>2398.884</f>
        <v>2398.884</v>
      </c>
      <c r="F401" s="12">
        <f>2398.384</f>
        <v>2398.384</v>
      </c>
      <c r="G401" s="12" t="s">
        <v>18</v>
      </c>
      <c r="H401" s="12">
        <f>2398.384</f>
        <v>2398.384</v>
      </c>
    </row>
    <row r="402" spans="1:8" x14ac:dyDescent="0.25">
      <c r="A402" s="36"/>
      <c r="B402" s="36"/>
      <c r="C402" s="24" t="s">
        <v>460</v>
      </c>
      <c r="D402" s="25" t="s">
        <v>461</v>
      </c>
      <c r="E402" s="12">
        <f>0</f>
        <v>0</v>
      </c>
      <c r="F402" s="12">
        <f>0</f>
        <v>0</v>
      </c>
      <c r="G402" s="12" t="s">
        <v>15</v>
      </c>
      <c r="H402" s="12">
        <f>0</f>
        <v>0</v>
      </c>
    </row>
    <row r="403" spans="1:8" x14ac:dyDescent="0.25">
      <c r="A403" s="36"/>
      <c r="B403" s="36"/>
      <c r="C403" s="22" t="s">
        <v>17</v>
      </c>
      <c r="D403" s="23" t="s">
        <v>42</v>
      </c>
      <c r="E403" s="3">
        <f>E404</f>
        <v>79540.441529999996</v>
      </c>
      <c r="F403" s="3">
        <f>F404</f>
        <v>79378.971470000004</v>
      </c>
      <c r="G403" s="3" t="s">
        <v>541</v>
      </c>
      <c r="H403" s="3">
        <f>H404</f>
        <v>79378.971470000004</v>
      </c>
    </row>
    <row r="404" spans="1:8" ht="31.5" x14ac:dyDescent="0.25">
      <c r="A404" s="36"/>
      <c r="B404" s="36"/>
      <c r="C404" s="24" t="s">
        <v>16</v>
      </c>
      <c r="D404" s="25" t="s">
        <v>43</v>
      </c>
      <c r="E404" s="12">
        <f>E405+E406</f>
        <v>79540.441529999996</v>
      </c>
      <c r="F404" s="12">
        <f>F405+F406</f>
        <v>79378.971470000004</v>
      </c>
      <c r="G404" s="12" t="s">
        <v>541</v>
      </c>
      <c r="H404" s="12">
        <f>H405+H406</f>
        <v>79378.971470000004</v>
      </c>
    </row>
    <row r="405" spans="1:8" ht="47.25" x14ac:dyDescent="0.25">
      <c r="A405" s="36"/>
      <c r="B405" s="36"/>
      <c r="C405" s="24" t="s">
        <v>29</v>
      </c>
      <c r="D405" s="25" t="s">
        <v>462</v>
      </c>
      <c r="E405" s="12">
        <f>74214.81</f>
        <v>74214.81</v>
      </c>
      <c r="F405" s="12">
        <f>74214.81</f>
        <v>74214.81</v>
      </c>
      <c r="G405" s="12" t="s">
        <v>18</v>
      </c>
      <c r="H405" s="12">
        <f>74214.81</f>
        <v>74214.81</v>
      </c>
    </row>
    <row r="406" spans="1:8" ht="47.25" x14ac:dyDescent="0.25">
      <c r="A406" s="36"/>
      <c r="B406" s="36"/>
      <c r="C406" s="24" t="s">
        <v>30</v>
      </c>
      <c r="D406" s="25" t="s">
        <v>463</v>
      </c>
      <c r="E406" s="12">
        <f>5325.63153</f>
        <v>5325.6315299999997</v>
      </c>
      <c r="F406" s="12">
        <f>5164.16147</f>
        <v>5164.16147</v>
      </c>
      <c r="G406" s="12" t="s">
        <v>620</v>
      </c>
      <c r="H406" s="12">
        <f>5164.16147</f>
        <v>5164.16147</v>
      </c>
    </row>
    <row r="407" spans="1:8" x14ac:dyDescent="0.25">
      <c r="A407" s="36"/>
      <c r="B407" s="36"/>
      <c r="C407" s="22" t="s">
        <v>44</v>
      </c>
      <c r="D407" s="23" t="s">
        <v>464</v>
      </c>
      <c r="E407" s="3">
        <f>E408+E409</f>
        <v>0</v>
      </c>
      <c r="F407" s="3">
        <f>F408+F409</f>
        <v>0</v>
      </c>
      <c r="G407" s="3" t="s">
        <v>15</v>
      </c>
      <c r="H407" s="3">
        <f>H408+H409</f>
        <v>0</v>
      </c>
    </row>
    <row r="408" spans="1:8" ht="31.5" x14ac:dyDescent="0.25">
      <c r="A408" s="36"/>
      <c r="B408" s="36"/>
      <c r="C408" s="24" t="s">
        <v>16</v>
      </c>
      <c r="D408" s="25" t="s">
        <v>465</v>
      </c>
      <c r="E408" s="12">
        <f>0</f>
        <v>0</v>
      </c>
      <c r="F408" s="12">
        <f>0</f>
        <v>0</v>
      </c>
      <c r="G408" s="12" t="s">
        <v>15</v>
      </c>
      <c r="H408" s="12">
        <f>0</f>
        <v>0</v>
      </c>
    </row>
    <row r="409" spans="1:8" ht="47.25" x14ac:dyDescent="0.25">
      <c r="A409" s="36"/>
      <c r="B409" s="36"/>
      <c r="C409" s="24" t="s">
        <v>13</v>
      </c>
      <c r="D409" s="25" t="s">
        <v>466</v>
      </c>
      <c r="E409" s="12">
        <f>0</f>
        <v>0</v>
      </c>
      <c r="F409" s="12">
        <f>0</f>
        <v>0</v>
      </c>
      <c r="G409" s="12" t="s">
        <v>15</v>
      </c>
      <c r="H409" s="12">
        <f>0</f>
        <v>0</v>
      </c>
    </row>
    <row r="410" spans="1:8" x14ac:dyDescent="0.25">
      <c r="A410" s="37"/>
      <c r="B410" s="37"/>
      <c r="C410" s="17"/>
      <c r="D410" s="2" t="s">
        <v>6</v>
      </c>
      <c r="E410" s="3">
        <f>E383+E389+E403+E407</f>
        <v>97242.015920000005</v>
      </c>
      <c r="F410" s="3">
        <f>F383+F389+F403+F407</f>
        <v>96304.608470000006</v>
      </c>
      <c r="G410" s="3" t="s">
        <v>600</v>
      </c>
      <c r="H410" s="3">
        <f>H383+H389+H403+H407</f>
        <v>96304.608470000006</v>
      </c>
    </row>
    <row r="411" spans="1:8" ht="32.25" customHeight="1" x14ac:dyDescent="0.25">
      <c r="A411" s="35">
        <v>16</v>
      </c>
      <c r="B411" s="35" t="s">
        <v>357</v>
      </c>
      <c r="C411" s="22" t="s">
        <v>21</v>
      </c>
      <c r="D411" s="23" t="s">
        <v>467</v>
      </c>
      <c r="E411" s="3">
        <f>E412+E413</f>
        <v>100</v>
      </c>
      <c r="F411" s="3">
        <f>F412+F413</f>
        <v>100</v>
      </c>
      <c r="G411" s="3" t="s">
        <v>18</v>
      </c>
      <c r="H411" s="3">
        <f>H412+H413</f>
        <v>100</v>
      </c>
    </row>
    <row r="412" spans="1:8" ht="47.25" x14ac:dyDescent="0.25">
      <c r="A412" s="36"/>
      <c r="B412" s="36"/>
      <c r="C412" s="24" t="s">
        <v>13</v>
      </c>
      <c r="D412" s="25" t="s">
        <v>468</v>
      </c>
      <c r="E412" s="12">
        <f>0</f>
        <v>0</v>
      </c>
      <c r="F412" s="12">
        <f>0</f>
        <v>0</v>
      </c>
      <c r="G412" s="12" t="s">
        <v>15</v>
      </c>
      <c r="H412" s="12">
        <f>0</f>
        <v>0</v>
      </c>
    </row>
    <row r="413" spans="1:8" ht="31.5" x14ac:dyDescent="0.25">
      <c r="A413" s="36"/>
      <c r="B413" s="36"/>
      <c r="C413" s="24" t="s">
        <v>33</v>
      </c>
      <c r="D413" s="25" t="s">
        <v>469</v>
      </c>
      <c r="E413" s="12">
        <f>E414+E415</f>
        <v>100</v>
      </c>
      <c r="F413" s="12">
        <f>F414+F415</f>
        <v>100</v>
      </c>
      <c r="G413" s="12" t="s">
        <v>18</v>
      </c>
      <c r="H413" s="12">
        <f>H414+H415</f>
        <v>100</v>
      </c>
    </row>
    <row r="414" spans="1:8" ht="31.5" x14ac:dyDescent="0.25">
      <c r="A414" s="36"/>
      <c r="B414" s="36"/>
      <c r="C414" s="24" t="s">
        <v>34</v>
      </c>
      <c r="D414" s="25" t="s">
        <v>470</v>
      </c>
      <c r="E414" s="12">
        <f>100</f>
        <v>100</v>
      </c>
      <c r="F414" s="12">
        <f>100</f>
        <v>100</v>
      </c>
      <c r="G414" s="12" t="s">
        <v>18</v>
      </c>
      <c r="H414" s="12">
        <f>100</f>
        <v>100</v>
      </c>
    </row>
    <row r="415" spans="1:8" ht="78.75" x14ac:dyDescent="0.25">
      <c r="A415" s="36"/>
      <c r="B415" s="36"/>
      <c r="C415" s="24" t="s">
        <v>35</v>
      </c>
      <c r="D415" s="25" t="s">
        <v>471</v>
      </c>
      <c r="E415" s="12">
        <f>0</f>
        <v>0</v>
      </c>
      <c r="F415" s="12">
        <f>0</f>
        <v>0</v>
      </c>
      <c r="G415" s="12" t="s">
        <v>15</v>
      </c>
      <c r="H415" s="12">
        <f>0</f>
        <v>0</v>
      </c>
    </row>
    <row r="416" spans="1:8" ht="25.5" customHeight="1" x14ac:dyDescent="0.25">
      <c r="A416" s="36"/>
      <c r="B416" s="36"/>
      <c r="C416" s="22" t="s">
        <v>28</v>
      </c>
      <c r="D416" s="23" t="s">
        <v>472</v>
      </c>
      <c r="E416" s="3">
        <f>E417+E418+E419</f>
        <v>80</v>
      </c>
      <c r="F416" s="3">
        <f>F417+F418+F419</f>
        <v>80</v>
      </c>
      <c r="G416" s="3" t="s">
        <v>18</v>
      </c>
      <c r="H416" s="3">
        <f>H417+H418+H419</f>
        <v>80</v>
      </c>
    </row>
    <row r="417" spans="1:8" ht="63" x14ac:dyDescent="0.25">
      <c r="A417" s="36"/>
      <c r="B417" s="36"/>
      <c r="C417" s="24" t="s">
        <v>16</v>
      </c>
      <c r="D417" s="25" t="s">
        <v>473</v>
      </c>
      <c r="E417" s="12">
        <f>0</f>
        <v>0</v>
      </c>
      <c r="F417" s="12">
        <f>0</f>
        <v>0</v>
      </c>
      <c r="G417" s="12" t="s">
        <v>15</v>
      </c>
      <c r="H417" s="12">
        <f>0</f>
        <v>0</v>
      </c>
    </row>
    <row r="418" spans="1:8" ht="47.25" x14ac:dyDescent="0.25">
      <c r="A418" s="36"/>
      <c r="B418" s="36"/>
      <c r="C418" s="24" t="s">
        <v>36</v>
      </c>
      <c r="D418" s="25" t="s">
        <v>474</v>
      </c>
      <c r="E418" s="12">
        <f>0</f>
        <v>0</v>
      </c>
      <c r="F418" s="12">
        <f>0</f>
        <v>0</v>
      </c>
      <c r="G418" s="12" t="s">
        <v>15</v>
      </c>
      <c r="H418" s="12">
        <f>0</f>
        <v>0</v>
      </c>
    </row>
    <row r="419" spans="1:8" ht="47.25" x14ac:dyDescent="0.25">
      <c r="A419" s="36"/>
      <c r="B419" s="36"/>
      <c r="C419" s="24" t="s">
        <v>38</v>
      </c>
      <c r="D419" s="25" t="s">
        <v>475</v>
      </c>
      <c r="E419" s="12">
        <f>E420</f>
        <v>80</v>
      </c>
      <c r="F419" s="12">
        <f>F420</f>
        <v>80</v>
      </c>
      <c r="G419" s="12" t="s">
        <v>18</v>
      </c>
      <c r="H419" s="12">
        <f>H420</f>
        <v>80</v>
      </c>
    </row>
    <row r="420" spans="1:8" ht="31.5" x14ac:dyDescent="0.25">
      <c r="A420" s="36"/>
      <c r="B420" s="36"/>
      <c r="C420" s="24" t="s">
        <v>207</v>
      </c>
      <c r="D420" s="25" t="s">
        <v>476</v>
      </c>
      <c r="E420" s="12">
        <f>80</f>
        <v>80</v>
      </c>
      <c r="F420" s="12">
        <f>80</f>
        <v>80</v>
      </c>
      <c r="G420" s="12" t="s">
        <v>18</v>
      </c>
      <c r="H420" s="12">
        <f>80</f>
        <v>80</v>
      </c>
    </row>
    <row r="421" spans="1:8" x14ac:dyDescent="0.25">
      <c r="A421" s="37"/>
      <c r="B421" s="37"/>
      <c r="C421" s="17"/>
      <c r="D421" s="2" t="s">
        <v>6</v>
      </c>
      <c r="E421" s="3">
        <f>E411+E416</f>
        <v>180</v>
      </c>
      <c r="F421" s="3">
        <f>F411+F416</f>
        <v>180</v>
      </c>
      <c r="G421" s="3" t="s">
        <v>18</v>
      </c>
      <c r="H421" s="3">
        <f>H411+H416</f>
        <v>180</v>
      </c>
    </row>
    <row r="422" spans="1:8" ht="32.25" customHeight="1" x14ac:dyDescent="0.25">
      <c r="A422" s="35">
        <v>17</v>
      </c>
      <c r="B422" s="35" t="s">
        <v>10</v>
      </c>
      <c r="C422" s="22" t="s">
        <v>21</v>
      </c>
      <c r="D422" s="23" t="s">
        <v>477</v>
      </c>
      <c r="E422" s="3">
        <f>E423+E430</f>
        <v>2629.7781</v>
      </c>
      <c r="F422" s="3">
        <f>F423+F430</f>
        <v>2629.7781</v>
      </c>
      <c r="G422" s="3" t="s">
        <v>18</v>
      </c>
      <c r="H422" s="3">
        <f>H423+H430</f>
        <v>2629.7781</v>
      </c>
    </row>
    <row r="423" spans="1:8" ht="31.5" x14ac:dyDescent="0.25">
      <c r="A423" s="36"/>
      <c r="B423" s="36"/>
      <c r="C423" s="24" t="s">
        <v>16</v>
      </c>
      <c r="D423" s="25" t="s">
        <v>478</v>
      </c>
      <c r="E423" s="12">
        <f>E424+E425+E426+E427+E428+E429</f>
        <v>2629.7781</v>
      </c>
      <c r="F423" s="12">
        <f>F424+F425+F426+F427+F428+F429</f>
        <v>2629.7781</v>
      </c>
      <c r="G423" s="12" t="s">
        <v>18</v>
      </c>
      <c r="H423" s="12">
        <f>H424+H425+H426+H427+H428+H429</f>
        <v>2629.7781</v>
      </c>
    </row>
    <row r="424" spans="1:8" ht="31.5" x14ac:dyDescent="0.25">
      <c r="A424" s="36"/>
      <c r="B424" s="36"/>
      <c r="C424" s="24" t="s">
        <v>22</v>
      </c>
      <c r="D424" s="25" t="s">
        <v>479</v>
      </c>
      <c r="E424" s="12">
        <f>0</f>
        <v>0</v>
      </c>
      <c r="F424" s="12">
        <f>0</f>
        <v>0</v>
      </c>
      <c r="G424" s="12" t="s">
        <v>15</v>
      </c>
      <c r="H424" s="12">
        <f>0</f>
        <v>0</v>
      </c>
    </row>
    <row r="425" spans="1:8" ht="31.5" x14ac:dyDescent="0.25">
      <c r="A425" s="36"/>
      <c r="B425" s="36"/>
      <c r="C425" s="24" t="s">
        <v>23</v>
      </c>
      <c r="D425" s="25" t="s">
        <v>480</v>
      </c>
      <c r="E425" s="12">
        <f>1451.62462</f>
        <v>1451.62462</v>
      </c>
      <c r="F425" s="12">
        <f>1451.62462</f>
        <v>1451.62462</v>
      </c>
      <c r="G425" s="12" t="s">
        <v>18</v>
      </c>
      <c r="H425" s="12">
        <f>1451.62462</f>
        <v>1451.62462</v>
      </c>
    </row>
    <row r="426" spans="1:8" ht="47.25" x14ac:dyDescent="0.25">
      <c r="A426" s="36"/>
      <c r="B426" s="36"/>
      <c r="C426" s="24" t="s">
        <v>24</v>
      </c>
      <c r="D426" s="25" t="s">
        <v>481</v>
      </c>
      <c r="E426" s="12">
        <f>0</f>
        <v>0</v>
      </c>
      <c r="F426" s="12">
        <f>0</f>
        <v>0</v>
      </c>
      <c r="G426" s="12" t="s">
        <v>15</v>
      </c>
      <c r="H426" s="12">
        <f>0</f>
        <v>0</v>
      </c>
    </row>
    <row r="427" spans="1:8" ht="47.25" x14ac:dyDescent="0.25">
      <c r="A427" s="36"/>
      <c r="B427" s="36"/>
      <c r="C427" s="24" t="s">
        <v>482</v>
      </c>
      <c r="D427" s="25" t="s">
        <v>483</v>
      </c>
      <c r="E427" s="12">
        <f>1143.2122</f>
        <v>1143.2121999999999</v>
      </c>
      <c r="F427" s="12">
        <f>1143.2122</f>
        <v>1143.2121999999999</v>
      </c>
      <c r="G427" s="12" t="s">
        <v>18</v>
      </c>
      <c r="H427" s="12">
        <f>1143.2122</f>
        <v>1143.2121999999999</v>
      </c>
    </row>
    <row r="428" spans="1:8" ht="47.25" x14ac:dyDescent="0.25">
      <c r="A428" s="36"/>
      <c r="B428" s="36"/>
      <c r="C428" s="24" t="s">
        <v>26</v>
      </c>
      <c r="D428" s="25" t="s">
        <v>484</v>
      </c>
      <c r="E428" s="12">
        <f>0</f>
        <v>0</v>
      </c>
      <c r="F428" s="12">
        <f>0</f>
        <v>0</v>
      </c>
      <c r="G428" s="12" t="s">
        <v>15</v>
      </c>
      <c r="H428" s="12">
        <f>0</f>
        <v>0</v>
      </c>
    </row>
    <row r="429" spans="1:8" ht="31.5" x14ac:dyDescent="0.25">
      <c r="A429" s="36"/>
      <c r="B429" s="36"/>
      <c r="C429" s="24" t="s">
        <v>27</v>
      </c>
      <c r="D429" s="25" t="s">
        <v>485</v>
      </c>
      <c r="E429" s="12">
        <f>34.94128</f>
        <v>34.941279999999999</v>
      </c>
      <c r="F429" s="12">
        <f>34.94128</f>
        <v>34.941279999999999</v>
      </c>
      <c r="G429" s="12" t="s">
        <v>18</v>
      </c>
      <c r="H429" s="12">
        <f>34.94128</f>
        <v>34.941279999999999</v>
      </c>
    </row>
    <row r="430" spans="1:8" x14ac:dyDescent="0.25">
      <c r="A430" s="36"/>
      <c r="B430" s="36"/>
      <c r="C430" s="24" t="s">
        <v>486</v>
      </c>
      <c r="D430" s="25" t="s">
        <v>487</v>
      </c>
      <c r="E430" s="12">
        <f>0</f>
        <v>0</v>
      </c>
      <c r="F430" s="12">
        <f>0</f>
        <v>0</v>
      </c>
      <c r="G430" s="12" t="s">
        <v>15</v>
      </c>
      <c r="H430" s="12">
        <f>0</f>
        <v>0</v>
      </c>
    </row>
    <row r="431" spans="1:8" ht="47.25" x14ac:dyDescent="0.25">
      <c r="A431" s="36"/>
      <c r="B431" s="36"/>
      <c r="C431" s="22" t="s">
        <v>28</v>
      </c>
      <c r="D431" s="23" t="s">
        <v>488</v>
      </c>
      <c r="E431" s="3">
        <f>E432+E450+E452</f>
        <v>376380.7208999999</v>
      </c>
      <c r="F431" s="3">
        <f>F432+F450+F452</f>
        <v>374726.06381000008</v>
      </c>
      <c r="G431" s="3" t="s">
        <v>361</v>
      </c>
      <c r="H431" s="3">
        <f>H432+H450+H452</f>
        <v>374726.06381000008</v>
      </c>
    </row>
    <row r="432" spans="1:8" ht="31.5" x14ac:dyDescent="0.25">
      <c r="A432" s="36"/>
      <c r="B432" s="36"/>
      <c r="C432" s="24" t="s">
        <v>16</v>
      </c>
      <c r="D432" s="25" t="s">
        <v>489</v>
      </c>
      <c r="E432" s="12">
        <f>E433+E434+E435+E436+E437+E438+E439+E440+E441+E442+E443+E444+E445+E446+E447+E448+E449</f>
        <v>353138.95936999988</v>
      </c>
      <c r="F432" s="12">
        <f>F433+F434+F435+F436+F437+F438+F439+F440+F441+F442+F443+F444+F445+F446+F447+F448+F449</f>
        <v>351486.91492000007</v>
      </c>
      <c r="G432" s="12" t="s">
        <v>572</v>
      </c>
      <c r="H432" s="12">
        <f>H433+H434+H435+H436+H437+H438+H439+H440+H441+H442+H443+H444+H445+H446+H447+H448+H449</f>
        <v>351486.91492000007</v>
      </c>
    </row>
    <row r="433" spans="1:8" ht="31.5" x14ac:dyDescent="0.25">
      <c r="A433" s="36"/>
      <c r="B433" s="36"/>
      <c r="C433" s="24" t="s">
        <v>29</v>
      </c>
      <c r="D433" s="25" t="s">
        <v>490</v>
      </c>
      <c r="E433" s="12">
        <f>10235.71</f>
        <v>10235.709999999999</v>
      </c>
      <c r="F433" s="12">
        <f>10235.71</f>
        <v>10235.709999999999</v>
      </c>
      <c r="G433" s="12" t="s">
        <v>18</v>
      </c>
      <c r="H433" s="12">
        <f>10235.71</f>
        <v>10235.709999999999</v>
      </c>
    </row>
    <row r="434" spans="1:8" ht="31.5" x14ac:dyDescent="0.25">
      <c r="A434" s="36"/>
      <c r="B434" s="36"/>
      <c r="C434" s="24" t="s">
        <v>30</v>
      </c>
      <c r="D434" s="25" t="s">
        <v>491</v>
      </c>
      <c r="E434" s="12">
        <f>2339.79572</f>
        <v>2339.7957200000001</v>
      </c>
      <c r="F434" s="12">
        <f>2339.79572</f>
        <v>2339.7957200000001</v>
      </c>
      <c r="G434" s="12" t="s">
        <v>18</v>
      </c>
      <c r="H434" s="12">
        <f>2339.79572</f>
        <v>2339.7957200000001</v>
      </c>
    </row>
    <row r="435" spans="1:8" ht="31.5" x14ac:dyDescent="0.25">
      <c r="A435" s="36"/>
      <c r="B435" s="36"/>
      <c r="C435" s="24" t="s">
        <v>22</v>
      </c>
      <c r="D435" s="25" t="s">
        <v>492</v>
      </c>
      <c r="E435" s="12">
        <f>1463</f>
        <v>1463</v>
      </c>
      <c r="F435" s="12">
        <f>1437.91543</f>
        <v>1437.91543</v>
      </c>
      <c r="G435" s="12" t="s">
        <v>550</v>
      </c>
      <c r="H435" s="12">
        <f>1437.91543</f>
        <v>1437.91543</v>
      </c>
    </row>
    <row r="436" spans="1:8" x14ac:dyDescent="0.25">
      <c r="A436" s="36"/>
      <c r="B436" s="36"/>
      <c r="C436" s="24" t="s">
        <v>24</v>
      </c>
      <c r="D436" s="25" t="s">
        <v>493</v>
      </c>
      <c r="E436" s="12">
        <f>5692</f>
        <v>5692</v>
      </c>
      <c r="F436" s="12">
        <f>5692</f>
        <v>5692</v>
      </c>
      <c r="G436" s="12" t="s">
        <v>18</v>
      </c>
      <c r="H436" s="12">
        <f>5692</f>
        <v>5692</v>
      </c>
    </row>
    <row r="437" spans="1:8" x14ac:dyDescent="0.25">
      <c r="A437" s="36"/>
      <c r="B437" s="36"/>
      <c r="C437" s="24" t="s">
        <v>494</v>
      </c>
      <c r="D437" s="25" t="s">
        <v>495</v>
      </c>
      <c r="E437" s="12">
        <f>143086.38588</f>
        <v>143086.38587999999</v>
      </c>
      <c r="F437" s="12">
        <f>143047.31989</f>
        <v>143047.31989000001</v>
      </c>
      <c r="G437" s="12" t="s">
        <v>372</v>
      </c>
      <c r="H437" s="12">
        <f>143047.31989</f>
        <v>143047.31989000001</v>
      </c>
    </row>
    <row r="438" spans="1:8" ht="31.5" x14ac:dyDescent="0.25">
      <c r="A438" s="36"/>
      <c r="B438" s="36"/>
      <c r="C438" s="24" t="s">
        <v>395</v>
      </c>
      <c r="D438" s="25" t="s">
        <v>496</v>
      </c>
      <c r="E438" s="12">
        <f>14412.33393</f>
        <v>14412.333930000001</v>
      </c>
      <c r="F438" s="12">
        <f>14412.33393</f>
        <v>14412.333930000001</v>
      </c>
      <c r="G438" s="12" t="s">
        <v>18</v>
      </c>
      <c r="H438" s="12">
        <f>14412.33393</f>
        <v>14412.333930000001</v>
      </c>
    </row>
    <row r="439" spans="1:8" ht="31.5" x14ac:dyDescent="0.25">
      <c r="A439" s="36"/>
      <c r="B439" s="36"/>
      <c r="C439" s="24" t="s">
        <v>31</v>
      </c>
      <c r="D439" s="25" t="s">
        <v>497</v>
      </c>
      <c r="E439" s="12">
        <f>592.33302</f>
        <v>592.33302000000003</v>
      </c>
      <c r="F439" s="12">
        <f>592.33302</f>
        <v>592.33302000000003</v>
      </c>
      <c r="G439" s="12" t="s">
        <v>18</v>
      </c>
      <c r="H439" s="12">
        <f>592.33302</f>
        <v>592.33302000000003</v>
      </c>
    </row>
    <row r="440" spans="1:8" x14ac:dyDescent="0.25">
      <c r="A440" s="36"/>
      <c r="B440" s="36"/>
      <c r="C440" s="24" t="s">
        <v>32</v>
      </c>
      <c r="D440" s="25" t="s">
        <v>498</v>
      </c>
      <c r="E440" s="12">
        <f>45159.53366</f>
        <v>45159.533660000001</v>
      </c>
      <c r="F440" s="12">
        <f>45159.53366</f>
        <v>45159.533660000001</v>
      </c>
      <c r="G440" s="12" t="s">
        <v>18</v>
      </c>
      <c r="H440" s="12">
        <f>45159.53366</f>
        <v>45159.533660000001</v>
      </c>
    </row>
    <row r="441" spans="1:8" x14ac:dyDescent="0.25">
      <c r="A441" s="36"/>
      <c r="B441" s="36"/>
      <c r="C441" s="24" t="s">
        <v>60</v>
      </c>
      <c r="D441" s="25" t="s">
        <v>499</v>
      </c>
      <c r="E441" s="12">
        <f>3381.83957</f>
        <v>3381.8395700000001</v>
      </c>
      <c r="F441" s="12">
        <f>3381.83957</f>
        <v>3381.8395700000001</v>
      </c>
      <c r="G441" s="12" t="s">
        <v>18</v>
      </c>
      <c r="H441" s="12">
        <f>3381.83957</f>
        <v>3381.8395700000001</v>
      </c>
    </row>
    <row r="442" spans="1:8" x14ac:dyDescent="0.25">
      <c r="A442" s="36"/>
      <c r="B442" s="36"/>
      <c r="C442" s="24" t="s">
        <v>482</v>
      </c>
      <c r="D442" s="25" t="s">
        <v>500</v>
      </c>
      <c r="E442" s="12">
        <f>30553.87584</f>
        <v>30553.875840000001</v>
      </c>
      <c r="F442" s="12">
        <f>30553.87584</f>
        <v>30553.875840000001</v>
      </c>
      <c r="G442" s="12" t="s">
        <v>18</v>
      </c>
      <c r="H442" s="12">
        <f>30553.87584</f>
        <v>30553.875840000001</v>
      </c>
    </row>
    <row r="443" spans="1:8" x14ac:dyDescent="0.25">
      <c r="A443" s="36"/>
      <c r="B443" s="36"/>
      <c r="C443" s="24" t="s">
        <v>26</v>
      </c>
      <c r="D443" s="25" t="s">
        <v>501</v>
      </c>
      <c r="E443" s="12">
        <f>28163.0587999999</f>
        <v>28163.058799999901</v>
      </c>
      <c r="F443" s="12">
        <f>26575.41389</f>
        <v>26575.41389</v>
      </c>
      <c r="G443" s="12" t="s">
        <v>621</v>
      </c>
      <c r="H443" s="12">
        <f>26575.41389</f>
        <v>26575.41389</v>
      </c>
    </row>
    <row r="444" spans="1:8" x14ac:dyDescent="0.25">
      <c r="A444" s="36"/>
      <c r="B444" s="36"/>
      <c r="C444" s="24" t="s">
        <v>27</v>
      </c>
      <c r="D444" s="25" t="s">
        <v>502</v>
      </c>
      <c r="E444" s="12">
        <f>223.2</f>
        <v>223.2</v>
      </c>
      <c r="F444" s="12">
        <f>223.2</f>
        <v>223.2</v>
      </c>
      <c r="G444" s="12" t="s">
        <v>18</v>
      </c>
      <c r="H444" s="12">
        <f>223.2</f>
        <v>223.2</v>
      </c>
    </row>
    <row r="445" spans="1:8" x14ac:dyDescent="0.25">
      <c r="A445" s="36"/>
      <c r="B445" s="36"/>
      <c r="C445" s="24" t="s">
        <v>324</v>
      </c>
      <c r="D445" s="25" t="s">
        <v>503</v>
      </c>
      <c r="E445" s="12">
        <f>1089.3</f>
        <v>1089.3</v>
      </c>
      <c r="F445" s="12">
        <f>1089.05102</f>
        <v>1089.0510200000001</v>
      </c>
      <c r="G445" s="12" t="s">
        <v>18</v>
      </c>
      <c r="H445" s="12">
        <f>1089.05102</f>
        <v>1089.0510200000001</v>
      </c>
    </row>
    <row r="446" spans="1:8" ht="31.5" x14ac:dyDescent="0.25">
      <c r="A446" s="36"/>
      <c r="B446" s="36"/>
      <c r="C446" s="24" t="s">
        <v>504</v>
      </c>
      <c r="D446" s="25" t="s">
        <v>505</v>
      </c>
      <c r="E446" s="12">
        <f>6698</f>
        <v>6698</v>
      </c>
      <c r="F446" s="12">
        <f>6698</f>
        <v>6698</v>
      </c>
      <c r="G446" s="12" t="s">
        <v>18</v>
      </c>
      <c r="H446" s="12">
        <f>6698</f>
        <v>6698</v>
      </c>
    </row>
    <row r="447" spans="1:8" ht="31.5" x14ac:dyDescent="0.25">
      <c r="A447" s="36"/>
      <c r="B447" s="36"/>
      <c r="C447" s="24" t="s">
        <v>506</v>
      </c>
      <c r="D447" s="25" t="s">
        <v>507</v>
      </c>
      <c r="E447" s="12">
        <f>26.26847</f>
        <v>26.268470000000001</v>
      </c>
      <c r="F447" s="12">
        <f>26.26847</f>
        <v>26.268470000000001</v>
      </c>
      <c r="G447" s="12" t="s">
        <v>18</v>
      </c>
      <c r="H447" s="12">
        <f>26.26847</f>
        <v>26.268470000000001</v>
      </c>
    </row>
    <row r="448" spans="1:8" ht="31.5" x14ac:dyDescent="0.25">
      <c r="A448" s="36"/>
      <c r="B448" s="36"/>
      <c r="C448" s="24" t="s">
        <v>508</v>
      </c>
      <c r="D448" s="25" t="s">
        <v>509</v>
      </c>
      <c r="E448" s="12">
        <f>46163.39069</f>
        <v>46163.39069</v>
      </c>
      <c r="F448" s="12">
        <f>46163.39069</f>
        <v>46163.39069</v>
      </c>
      <c r="G448" s="12" t="s">
        <v>18</v>
      </c>
      <c r="H448" s="12">
        <f>46163.39069</f>
        <v>46163.39069</v>
      </c>
    </row>
    <row r="449" spans="1:8" ht="31.5" x14ac:dyDescent="0.25">
      <c r="A449" s="36"/>
      <c r="B449" s="36"/>
      <c r="C449" s="24" t="s">
        <v>510</v>
      </c>
      <c r="D449" s="25" t="s">
        <v>511</v>
      </c>
      <c r="E449" s="12">
        <f>13858.93379</f>
        <v>13858.933789999999</v>
      </c>
      <c r="F449" s="12">
        <f>13858.93379</f>
        <v>13858.933789999999</v>
      </c>
      <c r="G449" s="12" t="s">
        <v>18</v>
      </c>
      <c r="H449" s="12">
        <f>13858.93379</f>
        <v>13858.933789999999</v>
      </c>
    </row>
    <row r="450" spans="1:8" ht="31.5" x14ac:dyDescent="0.25">
      <c r="A450" s="36"/>
      <c r="B450" s="36"/>
      <c r="C450" s="24" t="s">
        <v>33</v>
      </c>
      <c r="D450" s="25" t="s">
        <v>512</v>
      </c>
      <c r="E450" s="12">
        <f>E451</f>
        <v>10000</v>
      </c>
      <c r="F450" s="12">
        <f>F451</f>
        <v>9997.3873600000006</v>
      </c>
      <c r="G450" s="12" t="s">
        <v>372</v>
      </c>
      <c r="H450" s="12">
        <f>H451</f>
        <v>9997.3873600000006</v>
      </c>
    </row>
    <row r="451" spans="1:8" ht="31.5" x14ac:dyDescent="0.25">
      <c r="A451" s="36"/>
      <c r="B451" s="36"/>
      <c r="C451" s="24" t="s">
        <v>34</v>
      </c>
      <c r="D451" s="25" t="s">
        <v>513</v>
      </c>
      <c r="E451" s="12">
        <f>3000+7000</f>
        <v>10000</v>
      </c>
      <c r="F451" s="12">
        <f>2997.38736+7000</f>
        <v>9997.3873600000006</v>
      </c>
      <c r="G451" s="12" t="s">
        <v>372</v>
      </c>
      <c r="H451" s="12">
        <f>2997.38736+7000</f>
        <v>9997.3873600000006</v>
      </c>
    </row>
    <row r="452" spans="1:8" x14ac:dyDescent="0.25">
      <c r="A452" s="36"/>
      <c r="B452" s="36"/>
      <c r="C452" s="24" t="s">
        <v>486</v>
      </c>
      <c r="D452" s="25" t="s">
        <v>487</v>
      </c>
      <c r="E452" s="12">
        <f>E453</f>
        <v>13241.76153</v>
      </c>
      <c r="F452" s="12">
        <f>F453</f>
        <v>13241.76153</v>
      </c>
      <c r="G452" s="12" t="s">
        <v>18</v>
      </c>
      <c r="H452" s="12">
        <f>H453</f>
        <v>13241.76153</v>
      </c>
    </row>
    <row r="453" spans="1:8" x14ac:dyDescent="0.25">
      <c r="A453" s="36"/>
      <c r="B453" s="36"/>
      <c r="C453" s="24" t="s">
        <v>514</v>
      </c>
      <c r="D453" s="25" t="s">
        <v>515</v>
      </c>
      <c r="E453" s="12">
        <f>13241.76153</f>
        <v>13241.76153</v>
      </c>
      <c r="F453" s="12">
        <f>13241.76153</f>
        <v>13241.76153</v>
      </c>
      <c r="G453" s="12" t="s">
        <v>18</v>
      </c>
      <c r="H453" s="12">
        <f>13241.76153</f>
        <v>13241.76153</v>
      </c>
    </row>
    <row r="454" spans="1:8" ht="19.5" x14ac:dyDescent="0.25">
      <c r="A454" s="37"/>
      <c r="B454" s="37"/>
      <c r="C454" s="17"/>
      <c r="D454" s="20" t="s">
        <v>6</v>
      </c>
      <c r="E454" s="21">
        <f>E422+E431</f>
        <v>379010.49899999989</v>
      </c>
      <c r="F454" s="21">
        <f>F422+F431</f>
        <v>377355.84191000008</v>
      </c>
      <c r="G454" s="21" t="s">
        <v>361</v>
      </c>
      <c r="H454" s="21">
        <f>H422+H431</f>
        <v>377355.84191000008</v>
      </c>
    </row>
    <row r="455" spans="1:8" ht="36.75" customHeight="1" x14ac:dyDescent="0.25">
      <c r="A455" s="35">
        <v>18</v>
      </c>
      <c r="B455" s="35" t="s">
        <v>358</v>
      </c>
      <c r="C455" s="17" t="s">
        <v>17</v>
      </c>
      <c r="D455" s="2" t="s">
        <v>516</v>
      </c>
      <c r="E455" s="3">
        <f>E456+E458+E460+E463</f>
        <v>2429946.6370000001</v>
      </c>
      <c r="F455" s="3">
        <f>F456+F458+F460+F463</f>
        <v>2407302.0890000002</v>
      </c>
      <c r="G455" s="3" t="s">
        <v>600</v>
      </c>
      <c r="H455" s="3">
        <f>H456+H458+H460+H463</f>
        <v>2407302.0890000002</v>
      </c>
    </row>
    <row r="456" spans="1:8" ht="39" customHeight="1" x14ac:dyDescent="0.25">
      <c r="A456" s="36"/>
      <c r="B456" s="36"/>
      <c r="C456" s="1" t="s">
        <v>16</v>
      </c>
      <c r="D456" s="19" t="s">
        <v>517</v>
      </c>
      <c r="E456" s="12">
        <f>E457</f>
        <v>0</v>
      </c>
      <c r="F456" s="12">
        <f>F457</f>
        <v>0</v>
      </c>
      <c r="G456" s="12" t="s">
        <v>622</v>
      </c>
      <c r="H456" s="12">
        <f>H457</f>
        <v>0</v>
      </c>
    </row>
    <row r="457" spans="1:8" ht="39" customHeight="1" x14ac:dyDescent="0.25">
      <c r="A457" s="36"/>
      <c r="B457" s="36"/>
      <c r="C457" s="24" t="s">
        <v>29</v>
      </c>
      <c r="D457" s="25" t="s">
        <v>623</v>
      </c>
      <c r="E457" s="12">
        <v>0</v>
      </c>
      <c r="F457" s="12">
        <v>0</v>
      </c>
      <c r="G457" s="12" t="s">
        <v>622</v>
      </c>
      <c r="H457" s="12">
        <v>0</v>
      </c>
    </row>
    <row r="458" spans="1:8" ht="30" customHeight="1" x14ac:dyDescent="0.25">
      <c r="A458" s="36"/>
      <c r="B458" s="36"/>
      <c r="C458" s="1" t="s">
        <v>13</v>
      </c>
      <c r="D458" s="19" t="s">
        <v>518</v>
      </c>
      <c r="E458" s="12">
        <f>E459</f>
        <v>239.09100000000001</v>
      </c>
      <c r="F458" s="12">
        <f>F459</f>
        <v>239.09100000000001</v>
      </c>
      <c r="G458" s="12" t="s">
        <v>18</v>
      </c>
      <c r="H458" s="12">
        <f>H459</f>
        <v>239.09100000000001</v>
      </c>
    </row>
    <row r="459" spans="1:8" ht="63" x14ac:dyDescent="0.25">
      <c r="A459" s="36"/>
      <c r="B459" s="36"/>
      <c r="C459" s="24" t="s">
        <v>20</v>
      </c>
      <c r="D459" s="25" t="s">
        <v>519</v>
      </c>
      <c r="E459" s="12">
        <v>239.09100000000001</v>
      </c>
      <c r="F459" s="12">
        <v>239.09100000000001</v>
      </c>
      <c r="G459" s="12" t="s">
        <v>627</v>
      </c>
      <c r="H459" s="12">
        <v>239.09100000000001</v>
      </c>
    </row>
    <row r="460" spans="1:8" ht="28.5" customHeight="1" x14ac:dyDescent="0.25">
      <c r="A460" s="36"/>
      <c r="B460" s="36"/>
      <c r="C460" s="1" t="s">
        <v>520</v>
      </c>
      <c r="D460" s="19" t="s">
        <v>521</v>
      </c>
      <c r="E460" s="12">
        <f>E461+E462</f>
        <v>248403.33</v>
      </c>
      <c r="F460" s="12">
        <f>F461+F462</f>
        <v>248403.33</v>
      </c>
      <c r="G460" s="12" t="s">
        <v>627</v>
      </c>
      <c r="H460" s="12">
        <f>H461+H462</f>
        <v>248403.33</v>
      </c>
    </row>
    <row r="461" spans="1:8" ht="47.25" x14ac:dyDescent="0.25">
      <c r="A461" s="36"/>
      <c r="B461" s="36"/>
      <c r="C461" s="24" t="s">
        <v>523</v>
      </c>
      <c r="D461" s="25" t="s">
        <v>524</v>
      </c>
      <c r="E461" s="12">
        <v>232763.81</v>
      </c>
      <c r="F461" s="12">
        <v>232763.81</v>
      </c>
      <c r="G461" s="12" t="s">
        <v>605</v>
      </c>
      <c r="H461" s="12">
        <v>232763.81</v>
      </c>
    </row>
    <row r="462" spans="1:8" ht="47.25" x14ac:dyDescent="0.25">
      <c r="A462" s="36"/>
      <c r="B462" s="36"/>
      <c r="C462" s="24" t="s">
        <v>525</v>
      </c>
      <c r="D462" s="25" t="s">
        <v>526</v>
      </c>
      <c r="E462" s="12">
        <v>15639.52</v>
      </c>
      <c r="F462" s="12">
        <v>15639.52</v>
      </c>
      <c r="G462" s="12" t="s">
        <v>605</v>
      </c>
      <c r="H462" s="12">
        <v>15639.52</v>
      </c>
    </row>
    <row r="463" spans="1:8" ht="31.5" customHeight="1" x14ac:dyDescent="0.25">
      <c r="A463" s="36"/>
      <c r="B463" s="36"/>
      <c r="C463" s="1" t="s">
        <v>527</v>
      </c>
      <c r="D463" s="19" t="s">
        <v>528</v>
      </c>
      <c r="E463" s="12">
        <f>E464</f>
        <v>2181304.216</v>
      </c>
      <c r="F463" s="12">
        <f>F464</f>
        <v>2158659.6680000001</v>
      </c>
      <c r="G463" s="12" t="s">
        <v>639</v>
      </c>
      <c r="H463" s="12">
        <f>H464</f>
        <v>2158659.6680000001</v>
      </c>
    </row>
    <row r="464" spans="1:8" ht="47.25" x14ac:dyDescent="0.25">
      <c r="A464" s="36"/>
      <c r="B464" s="36"/>
      <c r="C464" s="24" t="s">
        <v>529</v>
      </c>
      <c r="D464" s="25" t="s">
        <v>530</v>
      </c>
      <c r="E464" s="12">
        <v>2181304.216</v>
      </c>
      <c r="F464" s="12">
        <v>2158659.6680000001</v>
      </c>
      <c r="G464" s="12" t="s">
        <v>639</v>
      </c>
      <c r="H464" s="12">
        <v>2158659.6680000001</v>
      </c>
    </row>
    <row r="465" spans="1:8" ht="31.5" x14ac:dyDescent="0.25">
      <c r="A465" s="36"/>
      <c r="B465" s="36"/>
      <c r="C465" s="17" t="s">
        <v>14</v>
      </c>
      <c r="D465" s="2" t="s">
        <v>531</v>
      </c>
      <c r="E465" s="3">
        <f>E466+E468</f>
        <v>500000</v>
      </c>
      <c r="F465" s="3">
        <f>F466+F468</f>
        <v>500000</v>
      </c>
      <c r="G465" s="3" t="s">
        <v>626</v>
      </c>
      <c r="H465" s="3">
        <f>H466+H468</f>
        <v>500000</v>
      </c>
    </row>
    <row r="466" spans="1:8" ht="37.5" customHeight="1" x14ac:dyDescent="0.25">
      <c r="A466" s="36"/>
      <c r="B466" s="36"/>
      <c r="C466" s="1" t="s">
        <v>19</v>
      </c>
      <c r="D466" s="19" t="s">
        <v>532</v>
      </c>
      <c r="E466" s="12">
        <f>E467</f>
        <v>500000</v>
      </c>
      <c r="F466" s="12">
        <f>F467</f>
        <v>500000</v>
      </c>
      <c r="G466" s="12" t="s">
        <v>627</v>
      </c>
      <c r="H466" s="12">
        <f>H467</f>
        <v>500000</v>
      </c>
    </row>
    <row r="467" spans="1:8" ht="37.5" customHeight="1" x14ac:dyDescent="0.25">
      <c r="A467" s="36"/>
      <c r="B467" s="36"/>
      <c r="C467" s="24" t="s">
        <v>533</v>
      </c>
      <c r="D467" s="25" t="s">
        <v>532</v>
      </c>
      <c r="E467" s="12">
        <v>500000</v>
      </c>
      <c r="F467" s="12">
        <v>500000</v>
      </c>
      <c r="G467" s="12" t="s">
        <v>627</v>
      </c>
      <c r="H467" s="12">
        <v>500000</v>
      </c>
    </row>
    <row r="468" spans="1:8" ht="37.5" customHeight="1" x14ac:dyDescent="0.25">
      <c r="A468" s="36"/>
      <c r="B468" s="36"/>
      <c r="C468" s="1" t="s">
        <v>534</v>
      </c>
      <c r="D468" s="19" t="s">
        <v>535</v>
      </c>
      <c r="E468" s="12">
        <f>E469</f>
        <v>0</v>
      </c>
      <c r="F468" s="12">
        <f>F469</f>
        <v>0</v>
      </c>
      <c r="G468" s="12" t="s">
        <v>626</v>
      </c>
      <c r="H468" s="12">
        <f>H469</f>
        <v>0</v>
      </c>
    </row>
    <row r="469" spans="1:8" ht="37.5" customHeight="1" x14ac:dyDescent="0.25">
      <c r="A469" s="36"/>
      <c r="B469" s="36"/>
      <c r="C469" s="24" t="s">
        <v>624</v>
      </c>
      <c r="D469" s="25" t="s">
        <v>625</v>
      </c>
      <c r="E469" s="12">
        <v>0</v>
      </c>
      <c r="F469" s="12">
        <v>0</v>
      </c>
      <c r="G469" s="12" t="s">
        <v>626</v>
      </c>
      <c r="H469" s="12">
        <v>0</v>
      </c>
    </row>
    <row r="470" spans="1:8" ht="23.25" customHeight="1" x14ac:dyDescent="0.25">
      <c r="A470" s="37"/>
      <c r="B470" s="37"/>
      <c r="C470" s="1"/>
      <c r="D470" s="20" t="s">
        <v>6</v>
      </c>
      <c r="E470" s="21">
        <f>E455+E465</f>
        <v>2929946.6370000001</v>
      </c>
      <c r="F470" s="21">
        <f>F455+F465</f>
        <v>2907302.0890000002</v>
      </c>
      <c r="G470" s="21" t="s">
        <v>552</v>
      </c>
      <c r="H470" s="21">
        <f>H455+H465</f>
        <v>2907302.0890000002</v>
      </c>
    </row>
    <row r="471" spans="1:8" ht="20.25" x14ac:dyDescent="0.25">
      <c r="A471" s="13"/>
      <c r="B471" s="13"/>
      <c r="C471" s="33" t="s">
        <v>640</v>
      </c>
      <c r="D471" s="34"/>
      <c r="E471" s="30">
        <f>E16+E58+E110+E135+E155+E162+E173+E246+E259+E281+E302+E332+E365+E382+E410+E421+E454+E470</f>
        <v>7962732.1869600005</v>
      </c>
      <c r="F471" s="30">
        <f>F16+F58+F110+F135+F155+F162+F173+F246+F259+F281+F302+F332+F365+F382+F410+F421+F454+F470</f>
        <v>7777683.4835099988</v>
      </c>
      <c r="G471" s="30" t="s">
        <v>536</v>
      </c>
      <c r="H471" s="30">
        <f>H16+H58+H110+H135+H155+H162+H173+H246+H259+H281+H302+H332+H365+H382+H410+H421+H454+H470</f>
        <v>7777683.4835099988</v>
      </c>
    </row>
  </sheetData>
  <mergeCells count="38">
    <mergeCell ref="B111:B135"/>
    <mergeCell ref="A1:H2"/>
    <mergeCell ref="A163:A173"/>
    <mergeCell ref="B163:B173"/>
    <mergeCell ref="A174:A246"/>
    <mergeCell ref="B174:B246"/>
    <mergeCell ref="A5:A16"/>
    <mergeCell ref="B5:B16"/>
    <mergeCell ref="A136:A155"/>
    <mergeCell ref="B136:B155"/>
    <mergeCell ref="A156:A162"/>
    <mergeCell ref="B156:B162"/>
    <mergeCell ref="A17:A58"/>
    <mergeCell ref="B17:B58"/>
    <mergeCell ref="A59:A110"/>
    <mergeCell ref="B59:B110"/>
    <mergeCell ref="A111:A135"/>
    <mergeCell ref="A247:A259"/>
    <mergeCell ref="B247:B259"/>
    <mergeCell ref="A260:A281"/>
    <mergeCell ref="B260:B281"/>
    <mergeCell ref="A282:A302"/>
    <mergeCell ref="B282:B302"/>
    <mergeCell ref="A303:A332"/>
    <mergeCell ref="B303:B332"/>
    <mergeCell ref="A333:A365"/>
    <mergeCell ref="B333:B365"/>
    <mergeCell ref="A366:A382"/>
    <mergeCell ref="B366:B382"/>
    <mergeCell ref="C471:D471"/>
    <mergeCell ref="A455:A470"/>
    <mergeCell ref="B455:B470"/>
    <mergeCell ref="A383:A410"/>
    <mergeCell ref="B383:B410"/>
    <mergeCell ref="A411:A421"/>
    <mergeCell ref="B411:B421"/>
    <mergeCell ref="A422:A454"/>
    <mergeCell ref="B422:B454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2025-02-04T07:56:13Z</cp:lastPrinted>
  <dcterms:created xsi:type="dcterms:W3CDTF">2020-07-31T08:15:26Z</dcterms:created>
  <dcterms:modified xsi:type="dcterms:W3CDTF">2025-02-06T08:48:29Z</dcterms:modified>
</cp:coreProperties>
</file>